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E:\На сайт\21.08.2026\"/>
    </mc:Choice>
  </mc:AlternateContent>
  <xr:revisionPtr revIDLastSave="0" documentId="13_ncr:1_{0DA16F72-7EEF-4903-AC1B-93AE87738E03}" xr6:coauthVersionLast="47" xr6:coauthVersionMax="47" xr10:uidLastSave="{00000000-0000-0000-0000-000000000000}"/>
  <bookViews>
    <workbookView xWindow="-120" yWindow="-120" windowWidth="29040" windowHeight="15840" xr2:uid="{00000000-000D-0000-FFFF-FFFF00000000}"/>
  </bookViews>
  <sheets>
    <sheet name="Консолідований перелік (2)" sheetId="14" r:id="rId1"/>
  </sheets>
  <definedNames>
    <definedName name="_xlnm.Print_Titles" localSheetId="0">'Консолідований перелік (2)'!$5:$6</definedName>
    <definedName name="_xlnm.Print_Area" localSheetId="0">'Консолідований перелік (2)'!$A$1:$K$190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9" i="14" l="1"/>
  <c r="I109" i="14" s="1"/>
  <c r="I108" i="14"/>
  <c r="F188" i="14"/>
  <c r="H111" i="14"/>
  <c r="I110" i="14"/>
  <c r="F108" i="14"/>
  <c r="F107" i="14"/>
  <c r="I107" i="14" s="1"/>
  <c r="F106" i="14"/>
  <c r="I106" i="14" s="1"/>
  <c r="F190" i="14"/>
  <c r="F73" i="14"/>
  <c r="F74" i="14" s="1"/>
  <c r="I175" i="14"/>
  <c r="F166" i="14"/>
  <c r="F152" i="14"/>
  <c r="I174" i="14"/>
  <c r="A174" i="14"/>
  <c r="A175" i="14" s="1"/>
  <c r="A176" i="14" s="1"/>
  <c r="A177" i="14" s="1"/>
  <c r="A178" i="14" s="1"/>
  <c r="A179" i="14" s="1"/>
  <c r="A180" i="14" s="1"/>
  <c r="A181" i="14" s="1"/>
  <c r="A182" i="14" s="1"/>
  <c r="F162" i="14"/>
  <c r="F161" i="14"/>
  <c r="I103" i="14"/>
  <c r="I139" i="14"/>
  <c r="F189" i="14"/>
  <c r="F147" i="14"/>
  <c r="I147" i="14" s="1"/>
  <c r="F146" i="14"/>
  <c r="I146" i="14" s="1"/>
  <c r="F145" i="14"/>
  <c r="I145" i="14" s="1"/>
  <c r="F144" i="14"/>
  <c r="I144" i="14" s="1"/>
  <c r="F131" i="14"/>
  <c r="F136" i="14"/>
  <c r="F134" i="14"/>
  <c r="F143" i="14"/>
  <c r="I143" i="14" s="1"/>
  <c r="F142" i="14"/>
  <c r="I142" i="14" s="1"/>
  <c r="F133" i="14"/>
  <c r="F141" i="14"/>
  <c r="F114" i="14"/>
  <c r="F101" i="14"/>
  <c r="F111" i="14" s="1"/>
  <c r="F13" i="14"/>
  <c r="F15" i="14" s="1"/>
  <c r="F9" i="14"/>
  <c r="F11" i="14" s="1"/>
  <c r="F102" i="14"/>
  <c r="I102" i="14" s="1"/>
  <c r="F46" i="14"/>
  <c r="I46" i="14" s="1"/>
  <c r="F63" i="14"/>
  <c r="A130" i="14"/>
  <c r="I181" i="14"/>
  <c r="I58" i="14"/>
  <c r="F51" i="14"/>
  <c r="F19" i="14"/>
  <c r="F47" i="14" l="1"/>
  <c r="F48" i="14" s="1"/>
  <c r="F16" i="14"/>
  <c r="A131" i="14"/>
  <c r="A132" i="14" s="1"/>
  <c r="H148" i="14"/>
  <c r="G73" i="14"/>
  <c r="H47" i="14"/>
  <c r="G47" i="14"/>
  <c r="H15" i="14"/>
  <c r="G15" i="14"/>
  <c r="A133" i="14" l="1"/>
  <c r="A134" i="14" s="1"/>
  <c r="A135" i="14" s="1"/>
  <c r="A136" i="14" s="1"/>
  <c r="A137" i="14" s="1"/>
  <c r="A138" i="14" s="1"/>
  <c r="F53" i="14"/>
  <c r="F59" i="14" s="1"/>
  <c r="F60" i="14" s="1"/>
  <c r="F180" i="14"/>
  <c r="F140" i="14"/>
  <c r="I105" i="14"/>
  <c r="I104" i="14"/>
  <c r="A139" i="14" l="1"/>
  <c r="A140" i="14" s="1"/>
  <c r="A141" i="14" s="1"/>
  <c r="A142" i="14" s="1"/>
  <c r="A143" i="14" s="1"/>
  <c r="A144" i="14" s="1"/>
  <c r="A145" i="14" s="1"/>
  <c r="A146" i="14" s="1"/>
  <c r="A147" i="14" s="1"/>
  <c r="I189" i="14"/>
  <c r="F94" i="14"/>
  <c r="F97" i="14" s="1"/>
  <c r="F98" i="14" s="1"/>
  <c r="I188" i="14"/>
  <c r="I180" i="14"/>
  <c r="F169" i="14"/>
  <c r="F168" i="14"/>
  <c r="F113" i="14"/>
  <c r="I190" i="14"/>
  <c r="I91" i="14" l="1"/>
  <c r="H164" i="14"/>
  <c r="I163" i="14"/>
  <c r="I162" i="14"/>
  <c r="I161" i="14"/>
  <c r="I160" i="14"/>
  <c r="I10" i="14"/>
  <c r="I9" i="14"/>
  <c r="I141" i="14"/>
  <c r="I140" i="14"/>
  <c r="I11" i="14" l="1"/>
  <c r="F167" i="14"/>
  <c r="F159" i="14"/>
  <c r="G153" i="14" l="1"/>
  <c r="G164" i="14" s="1"/>
  <c r="I155" i="14"/>
  <c r="F154" i="14"/>
  <c r="I154" i="14" s="1"/>
  <c r="F153" i="14" l="1"/>
  <c r="F170" i="14"/>
  <c r="F171" i="14"/>
  <c r="I171" i="14" s="1"/>
  <c r="H183" i="14"/>
  <c r="I182" i="14"/>
  <c r="I179" i="14"/>
  <c r="G178" i="14"/>
  <c r="G183" i="14" s="1"/>
  <c r="I177" i="14"/>
  <c r="I176" i="14"/>
  <c r="I173" i="14"/>
  <c r="I172" i="14"/>
  <c r="I169" i="14"/>
  <c r="I168" i="14"/>
  <c r="I167" i="14"/>
  <c r="I166" i="14"/>
  <c r="I159" i="14"/>
  <c r="I158" i="14"/>
  <c r="I157" i="14"/>
  <c r="I156" i="14"/>
  <c r="I152" i="14"/>
  <c r="I138" i="14"/>
  <c r="I137" i="14"/>
  <c r="I136" i="14"/>
  <c r="F135" i="14"/>
  <c r="I135" i="14" s="1"/>
  <c r="I134" i="14"/>
  <c r="I133" i="14"/>
  <c r="I132" i="14"/>
  <c r="I131" i="14"/>
  <c r="I130" i="14"/>
  <c r="I129" i="14"/>
  <c r="I128" i="14"/>
  <c r="I127" i="14"/>
  <c r="I126" i="14"/>
  <c r="I125" i="14"/>
  <c r="I124" i="14"/>
  <c r="I123" i="14"/>
  <c r="I122" i="14"/>
  <c r="I121" i="14"/>
  <c r="G120" i="14"/>
  <c r="F120" i="14"/>
  <c r="G119" i="14"/>
  <c r="F119" i="14"/>
  <c r="F118" i="14"/>
  <c r="I117" i="14"/>
  <c r="I116" i="14"/>
  <c r="I115" i="14"/>
  <c r="I114" i="14"/>
  <c r="I113" i="14"/>
  <c r="G101" i="14"/>
  <c r="G111" i="14" s="1"/>
  <c r="H97" i="14"/>
  <c r="H98" i="14" s="1"/>
  <c r="G97" i="14"/>
  <c r="G98" i="14" s="1"/>
  <c r="I96" i="14"/>
  <c r="I95" i="14"/>
  <c r="I94" i="14"/>
  <c r="I93" i="14"/>
  <c r="H88" i="14"/>
  <c r="G88" i="14"/>
  <c r="F88" i="14"/>
  <c r="I87" i="14"/>
  <c r="I88" i="14" s="1"/>
  <c r="H81" i="14"/>
  <c r="G81" i="14"/>
  <c r="F81" i="14"/>
  <c r="I80" i="14"/>
  <c r="I81" i="14" s="1"/>
  <c r="G74" i="14"/>
  <c r="H72" i="14"/>
  <c r="I72" i="14" s="1"/>
  <c r="H71" i="14"/>
  <c r="I70" i="14"/>
  <c r="I69" i="14"/>
  <c r="I68" i="14"/>
  <c r="I67" i="14"/>
  <c r="I66" i="14"/>
  <c r="I65" i="14"/>
  <c r="I63" i="14"/>
  <c r="H59" i="14"/>
  <c r="H60" i="14" s="1"/>
  <c r="G59" i="14"/>
  <c r="G60" i="14" s="1"/>
  <c r="I57" i="14"/>
  <c r="I56" i="14"/>
  <c r="I55" i="14"/>
  <c r="I54" i="14"/>
  <c r="I53" i="14"/>
  <c r="I51" i="14"/>
  <c r="H48" i="14"/>
  <c r="G48"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19" i="14"/>
  <c r="H16" i="14"/>
  <c r="G16" i="14"/>
  <c r="I14" i="14"/>
  <c r="I13" i="14"/>
  <c r="F183" i="14" l="1"/>
  <c r="F164" i="14"/>
  <c r="F148" i="14"/>
  <c r="F149" i="14" s="1"/>
  <c r="G148" i="14"/>
  <c r="G186" i="14" s="1"/>
  <c r="I47" i="14"/>
  <c r="I48" i="14" s="1"/>
  <c r="I59" i="14"/>
  <c r="H73" i="14"/>
  <c r="H74" i="14" s="1"/>
  <c r="I15" i="14"/>
  <c r="I16" i="14" s="1"/>
  <c r="I97" i="14"/>
  <c r="I98" i="14" s="1"/>
  <c r="I118" i="14"/>
  <c r="I153" i="14"/>
  <c r="I164" i="14" s="1"/>
  <c r="I170" i="14"/>
  <c r="G185" i="14"/>
  <c r="H185" i="14"/>
  <c r="I119" i="14"/>
  <c r="H149" i="14"/>
  <c r="I120" i="14"/>
  <c r="I101" i="14"/>
  <c r="I111" i="14" s="1"/>
  <c r="G184" i="14"/>
  <c r="I178" i="14"/>
  <c r="I71" i="14"/>
  <c r="I73" i="14" s="1"/>
  <c r="H184" i="14"/>
  <c r="F186" i="14" l="1"/>
  <c r="F184" i="14"/>
  <c r="F185" i="14"/>
  <c r="I148" i="14"/>
  <c r="I74" i="14"/>
  <c r="I185" i="14"/>
  <c r="I183" i="14"/>
  <c r="I60" i="14"/>
  <c r="H186" i="14"/>
  <c r="H187" i="14" s="1"/>
  <c r="G187" i="14"/>
  <c r="G149" i="14"/>
  <c r="F187" i="14" l="1"/>
  <c r="I186" i="14"/>
  <c r="I187" i="14" s="1"/>
  <c r="I149" i="14"/>
  <c r="I184" i="14"/>
</calcChain>
</file>

<file path=xl/sharedStrings.xml><?xml version="1.0" encoding="utf-8"?>
<sst xmlns="http://schemas.openxmlformats.org/spreadsheetml/2006/main" count="696" uniqueCount="323">
  <si>
    <t>Розпочаті публічні інвестиційні проекти (програми публічних інвестицій):</t>
  </si>
  <si>
    <t>…</t>
  </si>
  <si>
    <t>Нові публічні інвестиційні проекти (програми публічних інвестицій):</t>
  </si>
  <si>
    <t>DREAM-UA-121125-26B95C97</t>
  </si>
  <si>
    <t>Культура та інформація</t>
  </si>
  <si>
    <t>DREAM-UA-121125-FF304AE3</t>
  </si>
  <si>
    <t>Джерела і
механізми
фінансового
забезпечення</t>
  </si>
  <si>
    <t>Головний
розпорядник
бюджетних
коштів</t>
  </si>
  <si>
    <t>Транспорт</t>
  </si>
  <si>
    <t>DREAM-UA-290925-EDAA4EA1</t>
  </si>
  <si>
    <t>Капітальний ремонт автомобільної дороги загального користування місцевого значення О 071002 Свалява-Довге-Липча км 0+000-55+215</t>
  </si>
  <si>
    <t>DREAM-UA-290925-E00D09DC</t>
  </si>
  <si>
    <t>Капітальний ремонт автомобільної дороги загального користування місцевого значення О 070603 Синевир-Колочава-Буштино км 0+000-66+000</t>
  </si>
  <si>
    <t>DREAM-UA-290925-9202657C</t>
  </si>
  <si>
    <t>Реконструкція мостової споруди на автомобільній дорозі загального користування місцевого значення С 070739 під’їзд до села Герцівці км 0+150</t>
  </si>
  <si>
    <t>DREAM-UA-290925-5926629A</t>
  </si>
  <si>
    <t>Реконструкціямостової споруди на автомобільній дорозі загального користування місцевого значення С 070909 Ясіня – Стебний км 0+580</t>
  </si>
  <si>
    <t>DREAM-UA-240925-3615F33F</t>
  </si>
  <si>
    <t>Капітальний ремонт мостової споруди на автомобільній дорозі загального користування місцевого значення С 070602 Міжгір’я – Лозянське км 0+315</t>
  </si>
  <si>
    <t>DREAM-UA-260925-F3A0AFE6</t>
  </si>
  <si>
    <t>Реконструкція мостової споруди на автомобіль ній дорозі загального користування місцевого значення О 070704 Червеньово – Великі Лучки – Гать км 5+883</t>
  </si>
  <si>
    <t>DREAM-UA-230925-5CC2CAFE</t>
  </si>
  <si>
    <t>Реконструкція мостової споруди на автомобільній дорозі загального користування місцевого значення С 071330 Під’їзд до Хустського кар’єру км 0+400</t>
  </si>
  <si>
    <t>DREAM-UA-260925-430DCD3C</t>
  </si>
  <si>
    <t>Реконструкція мостової споруди на автомобільній дорозі загального користування місцевого значення С 071103 Усть - Чорна – Лопухів км 0+023</t>
  </si>
  <si>
    <t>DREAM-UA-260925-FCCE6B2B</t>
  </si>
  <si>
    <t>Реконструкція мостової споруди на автомобільній дорозі загального користування місцевого значення С 070804 Львів-Самбір-Ужгород –Зарічево км 0+067</t>
  </si>
  <si>
    <t>DREAM-UA-260925-DD22A60B</t>
  </si>
  <si>
    <t>Капітальний ремонт мостової споруди на автомобільній дорозі загального користування місцевого значення О 070904 Рахів – Богдан – Луги км 0+150</t>
  </si>
  <si>
    <t>DREAM-UA-260925-36B76ECB</t>
  </si>
  <si>
    <t>Капітальний ремонт мостової споруди на автомобільній дорозі загального користування місцевого значення С 071328 Драгово – Кічерели км 1+300</t>
  </si>
  <si>
    <t>DREAM-UA-260925-0625D37D</t>
  </si>
  <si>
    <t>Реконструкція мостової споруди на автомобільній дорозі загального користування місцевого значення О 070602 Колочава-Усть Чорна-Калини-Бедевля км 22+900</t>
  </si>
  <si>
    <t>DREAM-UA-290925-1B808AEB</t>
  </si>
  <si>
    <t>Капітальний ремонт мостової споруди на автомобільній дорозі загального користування місцевого значення О 071001 Свалява-Мукачево км 7+989</t>
  </si>
  <si>
    <t>DREAM-UA-290925-6EB4FE82</t>
  </si>
  <si>
    <t>Капітальний ремонт автомобільної дороги загального користування місцевого значення О 070602 Колочава-Усть Чорна-Калини-Бедевля км 0+000-77+600</t>
  </si>
  <si>
    <t>DREAM-UA-290925-9FB0AA96</t>
  </si>
  <si>
    <t>Капітальний ремонт автомобільної дороги загального користування місцевого значення О 070102 Берегове-Бадалово-Вари-Боржава км 0+000-24+800</t>
  </si>
  <si>
    <t>DREAM-UA-290925-39683851</t>
  </si>
  <si>
    <t>Капітальний ремонт автомобільної дороги загального користування місцевого значення О 071001 Свалява-Мукачево км 0+000-20+556</t>
  </si>
  <si>
    <t>DREAM-UA-300925-83A62CF6</t>
  </si>
  <si>
    <t>Капітальний ремонт автомобільної дороги загального користування місцевого значення О 070110 Берегове-Кам’янське км 0+000-25+300</t>
  </si>
  <si>
    <t>DREAM-UA-300925-CE5D0CD4</t>
  </si>
  <si>
    <t>Капітальний ремонт автомобільної дороги загального користування місцевого значення О 070101 Берегове-Дийда-Велика Бийгань-Гут км 0+000-18+600</t>
  </si>
  <si>
    <t>DREAM-UA-300925-9917FEAF</t>
  </si>
  <si>
    <t>Капітальний ремонт автомобільної дороги загального користування місцевого значення О 070704 Червеньово-Великі Лучки-Гать км 0+000-21+200</t>
  </si>
  <si>
    <t>DREAM-UA-290925-BDACAD33</t>
  </si>
  <si>
    <t>Будівництво 2,2 км дорожнього відмикання місцевого значення від а/д О 070101 Берегове - Дийда - Велика Бийгань - Гут км 8+435, в обхід с.Бийгань з примикання до а/д М-25 Контрольно- пропускний пункт "Соломоново" Велика Добронь - Яноші км 51+490</t>
  </si>
  <si>
    <t>DREAM-UA-260925-4660482F</t>
  </si>
  <si>
    <t>Капітальний ремонт мостової споруди на автомобільній дорозі загального користування місцевого значення О 070701 Кольчино – Пузняківці – Тур’я Пасіка км 2+691</t>
  </si>
  <si>
    <t>DREAM-UA-250925-6A3A4ABC</t>
  </si>
  <si>
    <t>Капітальний ремонту мостової споруди на автомобільній дорозі загального користування місцевого значення С 071008 Стройне – сан. «Квасний Потік» км 0+280</t>
  </si>
  <si>
    <t>DREAM-UA-240925-7726C1A7</t>
  </si>
  <si>
    <t>Капітальний ремонт мостової споруди на автомобільній дорозі загального користування місцевого значення О 071001 Свалява-Мукачево км 0+020</t>
  </si>
  <si>
    <t>DREAM-UA-250925-48064BDA</t>
  </si>
  <si>
    <t>Реконструкція мостової споруди на автомобільній дорозі загального користування місцевого значення С 070408 АБЗ- Нижні Ворота на км 0+840</t>
  </si>
  <si>
    <t>DREAM-UA-300925-D265FCC5</t>
  </si>
  <si>
    <t>Капітальний ремонт автомобільної дороги загального користування місцевого значення О 070903 Ясиня – Чорна Тиса км 0+000-7+600</t>
  </si>
  <si>
    <t>DREAM-UA-300925-73F9BC53</t>
  </si>
  <si>
    <t>Капітальний ремонт автомобільної дороги загального користування місцевого значення О 071002 Свалява-Довге-Липча км 1+000-24+500</t>
  </si>
  <si>
    <t>Громадська безпека</t>
  </si>
  <si>
    <t>DREAM-UA-031125-ADE7F8FB</t>
  </si>
  <si>
    <t>Капітальний ремонт будівлі літ. Ж по вул. Перемоги 7 Ужгородського району Закарпатської області</t>
  </si>
  <si>
    <t>DREAM-UA-041125-F9AEE7D7</t>
  </si>
  <si>
    <t>Модернізація (реконструкція, капітальний ремонт) місць зберігання майна регіонального матеріального резерву</t>
  </si>
  <si>
    <t>DREAM-UA-041125-9CA61FF5</t>
  </si>
  <si>
    <t>Модернізація та приведення до сучасних вимог автоматизованих систем централізованого оповіщення цивільного захисту Закарпатської області</t>
  </si>
  <si>
    <t>DREAM-UA-041125-0728A44B</t>
  </si>
  <si>
    <t>Відновлення фонду захисних споруд цивільного захисту Закарпатської області</t>
  </si>
  <si>
    <t>тис.грн</t>
  </si>
  <si>
    <t>DREAM-UA-031125-EEBC3DDF</t>
  </si>
  <si>
    <t>Утворення у територіальних громадах центрів безпеки як інтегрованих структур безпекової складової</t>
  </si>
  <si>
    <t xml:space="preserve">Громадська безпека </t>
  </si>
  <si>
    <t>Cоціальна сфера</t>
  </si>
  <si>
    <t>Капітальний ремонт із заміною даху та модернізацією обладнання харчоблоку Відокремленого відділення с.Вільшани, 225, "КОМУНАЛЬНОЇ УСТАНОВИ "МУКАЧІВСЬКИЙ ПСИХОНЕВРОЛОГІЧНИЙ ІНТЕРНАТ" ЗАКАРПАТСЬКОЇ ОБЛАСНОЇ РАДИ"</t>
  </si>
  <si>
    <t>соціальна сфера</t>
  </si>
  <si>
    <t>Реконструкція будівлі "Школа-майстерня" КУ "Мукачівський дитячий будинок-інтернат" Закарпатської обласної ради</t>
  </si>
  <si>
    <t>Капітальний ремонт приміщень,фасадів та укріплення фундаменту корпусу 4 КУ "Виноградівський дитячий будинок-інтернат" Закарпатської обласної ради</t>
  </si>
  <si>
    <t>"Капітальний ремонт (утеплення фасаду) будівлі Виноградівського геріатричного пансіонату по вул. Персикова, 49 в м. Виноградів"</t>
  </si>
  <si>
    <t>Капітальний ремонт системи водовідведення (біотал) Виноградівського геріатричного пансіонату в м. Виноградів, вул. Персикова, 49 Закарпатської області</t>
  </si>
  <si>
    <t>Встановлення сонячних батарей КУ "Виноградівський геріатричний пансіонат" Закарпатської обласної ради</t>
  </si>
  <si>
    <t>Реставрація фасаду Корпусу№1 (головного корпусу) КУ "Виноградівський дитячий будинок-інтернат"</t>
  </si>
  <si>
    <t>Нове будівництво ветеранського простору та мультифункціонального стадіону за адресою: вул. Героїв 128-ї бригади, буд. 44, м. Ужгород, Закарпатська область</t>
  </si>
  <si>
    <t>Муніципальна інфраструктура та послуги</t>
  </si>
  <si>
    <t>Програма відновлення, розвитку та модернізації інфраструктури централізованого водопостачання та водовідведення на території області на 2026-2028 роки</t>
  </si>
  <si>
    <t>Довкілля</t>
  </si>
  <si>
    <t>Програма відновлення та реконструкції дамб та берегоукріплень водних об'єктів Закарпатської області на 2026-2028 роки</t>
  </si>
  <si>
    <t>DREAM-UA-131025-3D6963F9</t>
  </si>
  <si>
    <t>Спорт та фізичне виховання</t>
  </si>
  <si>
    <t>«Реконструкція будівель та споруд об’єктів спортивної інфраструктури розташованих за адресою: місто_x000D_
Ужгород, вулиця Заньковецької, будинок 5» (2 черга будівництва)</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</si>
  <si>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 ( 5 черга будівництва)_x000D_
</t>
  </si>
  <si>
    <t>Освіта і наука</t>
  </si>
  <si>
    <t>«Реконструкція навчального корпусу Nº 1 з проведенням прибудови спортивного залу по вул. Духновича , 17 в м .Мукачево. Коригування»</t>
  </si>
  <si>
    <t>Загальноосвітня школа І-ІІІ ступенів на 500 учнів у с. Кваси, Рахівського району – будівництво</t>
  </si>
  <si>
    <t>DREAM-UA-061125-7E7E36B8</t>
  </si>
  <si>
    <t>Реконструкція складських приміщень під роздягальні для проведення навчально-тренувального процесу в Ужгородському науковому ліцеї Закарпатської обласної ради</t>
  </si>
  <si>
    <t>DREAM-UA-271025-5632A86A</t>
  </si>
  <si>
    <t>Реконструкція з розширенням харчоблоку із заміною обладнання та устаткування Ужгородського наукового ліцею Закарпатської обласної ради за адресою м.Ужгород, вул.Загорська, 28</t>
  </si>
  <si>
    <t>DREAM-UA-051125-70094040</t>
  </si>
  <si>
    <t>Будівництво вуличного спортивного комплексу в Ужгородській спеціальній школі І - ІІІ ступенів Закарпатської обласної ради</t>
  </si>
  <si>
    <t>Капітальний ремонт покрівлі Комунального закладу "Тячівський професійний ліцей" Закарпатської обласної ради за адресою: Закарпатська область, м. Тячів, вул.Нересенська, 32</t>
  </si>
  <si>
    <t>Капітальний ремонт приміщень виробничого корпусу Комунального закладу "Хустський професійний коледж" Закарпатської обласної ради за адресою Закарпатська область, м.Хуст, вул. Небесної Сотні, 1  для створення навчально-практичного центру електротехнічного спрямування</t>
  </si>
  <si>
    <t>Капітальний ремонт (благоустрій) території  Великоберезнянського ліцею з посиленою військово-фізичною підготовкою Закарпатської обласної ради та влаштування спортивних майданчиків (з виготовленням ПКД) за адресою: Ужгородський район, селище Великий Березний, вулиця Штефаника, 126.</t>
  </si>
  <si>
    <t>Реконструкція спортивних залів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</si>
  <si>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багатофункціональних спортивних майданчиків на території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</si>
  <si>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сверловини (з бурінням)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</si>
  <si>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«Створення інноваційного освітнього простору  НУШ "Школа майбутнього"».</t>
  </si>
  <si>
    <t xml:space="preserve">_x000D_
Облаштування ігрових майданчиків та благоустрій території  у філії ,,Арніка" Комунальний заклад позашкільної освіти „Закарпатський обласний центр дитячої та юнацької творчості „ПАДІЮН” Закарпатської обласної ради _x000D_
</t>
  </si>
  <si>
    <t>Реконструкція медпункту будівлі "Г"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</si>
  <si>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Забезпечення закладів загальної середньої освіти засобами навчання та обладнання в межа реформи "Нова українська школа"</t>
  </si>
  <si>
    <t>Забезпечення засобами навчання та обладнанням в межах впровадження реформи “Нова українська школа"” в Ужгородській  спеціальній школі І - ІІІ ступенів Закарпатської обласної ради</t>
  </si>
  <si>
    <t>Капітальний ремонт вбудованого приміщення під кабінет загальнопрофесійної підготовки за адресою м.Хуст, вул.Свободи,1 Комунального закладу "Хустський професійний коледж" Закарпатської обласної ради</t>
  </si>
  <si>
    <t>Ремонт та модернізація актової зали КЗ "Свалявський професійний коледж" ЗОР</t>
  </si>
  <si>
    <t>Капітальний ремонт даху навчального корпусу (літера Б) Комунального закладу «Мукачівський професійний політехнічний коледж» Закарпатської обласної ради за адресою: Закарпатська область, м. Мукачево, вул. Кооперативна, 2</t>
  </si>
  <si>
    <t>DREAM-UA-121125-69752644</t>
  </si>
  <si>
    <t>Капітальний ремонт підвального приміщення для облаштування споруди цивільного захисту (укриття) з властивостями ПРУ філії ,,Арніка" КЗПО „Закарпатський обласний центр дитячої та юнацької творчості „ПАДІЮН” Закарпатської обласної ради</t>
  </si>
  <si>
    <t>Навчально-практичний центр харчових технологій КЗ «Свалявський професійний коледж" ЗОР»</t>
  </si>
  <si>
    <t>Капітальний ремонт спального корпусу літ.Б-2, розташованого за адресою : місто Хуст, вул.Карпатської Січі,48</t>
  </si>
  <si>
    <t>Капітальний ремонт будівель ЗП(ПТ)О «Виноградівський професійний коледж» для реалізації публічного інвестиційного проекту, спрямованого на забезпечення енергоефективності, безпеки та інклюзивності освітнього простору, за адресою Закарпатська область, Берегівський район, місто Виноградів вулиця Івана Франка будинок 116</t>
  </si>
  <si>
    <t>Модернізація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</si>
  <si>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Навчально-практичний центр з професії "Кухар, кондитер " Комунального закладу  "Мукачівський професійний аграрний ліцей імені Михайла Данканича" Закарпатської обласної ради</t>
  </si>
  <si>
    <t>Капітальний ремонт будівлі навчального корпусу Комунального закладу «Перечинський професійний ліцей» Закарпатської обласної ради за адресою с.Сімер, вул.Будівельників 8.</t>
  </si>
  <si>
    <t>Забезпечення засобами навчання та обладнанням в межах впровадження реформи ,,Нова українська школа" в Ужгородському науковому ліцеї Закарпатської обласної ради</t>
  </si>
  <si>
    <t>Навчально-практичний центр відновлювальної енергетики та електромонтерів «QUANTUM»</t>
  </si>
  <si>
    <t>Безперешкодний доступ до якісної освіти - шкільні автобуси</t>
  </si>
  <si>
    <t>Охорона здоров'я</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</si>
  <si>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</si>
  <si>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Охорона здоров’я</t>
  </si>
  <si>
    <t>Проект Капітального ремонту відділення інтенсивної терапії та операційного блоку КНП "ОКЦНН" ЗОР</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</si>
  <si>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</si>
  <si>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</si>
  <si>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</si>
  <si>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4YOURSMILE - Рівний доступ до стоматологічної допомоги в транскордонному регіоні</t>
  </si>
  <si>
    <t>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</si>
  <si>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</si>
  <si>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</si>
  <si>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 xml:space="preserve">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Ужгород_x000D_
</t>
  </si>
  <si>
    <t>Капітальний ремонт із заміною вікон і дверей у будівлях літ. "А", "А'" та "Б", що належать до майнового комплексу, розташованого за адресою: м. Ужгород, вул. Тімірязєва, 15А. Коригування</t>
  </si>
  <si>
    <t>Капітальний ремонт системи теплопостачання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</si>
  <si>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Капітальний ремонт системи вентиляції приміщень підвалу будівлі КЗ "Хустський базовий медичний фаховий коледж" ЗОР</t>
  </si>
  <si>
    <t>Капітальний ремонт зовнішньої системи теплопостачання , з влаштуванням модульної котельні за адресою: Берегівський район, с. Яноші, вул. Батозі №1</t>
  </si>
  <si>
    <t>Покращення кардіохірургічної допомоги жителям Закарпатської області</t>
  </si>
  <si>
    <t>Будівництво сучасної поліклініки</t>
  </si>
  <si>
    <t>"Реконструкція існуючого протирадіаційного укриття з розширенням, за рахунок  власних  підвальних  приміщень  у будівлі поліклініки (літери «А», «Б») комунального  некомерційного підприємства «Обласна дитяча лікарня» Закарпатської обласної  ради по вул. Франка Івана, 41, м. Мукачево"</t>
  </si>
  <si>
    <t>Всього по розпочатих ПІП</t>
  </si>
  <si>
    <t>Всього по нових ПІП</t>
  </si>
  <si>
    <t>№ п/п</t>
  </si>
  <si>
    <t>Бал за пріоритезацією в єдиному проектному портфелі публічних інвестицій регіону</t>
  </si>
  <si>
    <t>Розподіл публічних інвестицій на підготовку та реалізацію публічних інвестиційних проектів та програм публічних інвестицій</t>
  </si>
  <si>
    <t>прогноз на 2026 рік</t>
  </si>
  <si>
    <t>прогноз на 2027 рік</t>
  </si>
  <si>
    <t>прогноз на 2028 рік</t>
  </si>
  <si>
    <t>разом</t>
  </si>
  <si>
    <t>Консолідований перелік</t>
  </si>
  <si>
    <t>Реконструкція реабілітаційного центру "Росинка" (частина будівлі літери "Б") комунального некомерційного підприємства "Обласна
дитяча лікарня" Закарпатської обласної ради по вул. Франка Івана,41 м. Мукачево"</t>
  </si>
  <si>
    <t>Унікальний ідентифікатор публічного інвестиційного проекту /
програми публічних інвестицій</t>
  </si>
  <si>
    <t>Назва публічного інвестиційного проекту   /             програми публічних інвестицій</t>
  </si>
  <si>
    <t>Сектор  / галузь</t>
  </si>
  <si>
    <t>Обласний бюджет</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</si>
  <si>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5»(4 черга будівництва)
</t>
  </si>
  <si>
    <t>Будівництво інформаційно- аналітичної сиcтеми "Ситуаційний центр Безпекове Закарпаття". Будівництво центру обробки даних. Встановлення відеоспостереження. Коригування</t>
  </si>
  <si>
    <t>Ліквідація аварійного стану даху філармонії</t>
  </si>
  <si>
    <t>Проведення ремонтних та протиаварійних робіт в приміщені фондосховищ 1 поверху на пам'ятці архітектури національного значення в якій знаходиться Закарпатський обласний художній музей ім. Й. Бокшая (будівля Жупанату 1809 рік пл. Жупанатська 3 охор. №070049, м. Ужгород)</t>
  </si>
  <si>
    <t xml:space="preserve"> Департамент культури облдержадміністрації</t>
  </si>
  <si>
    <t>Департамент інфраструктури, розвитку і утримання мережі автомобільних доріг загального користування місцевого значення облдержадміністрації</t>
  </si>
  <si>
    <t>Разом по нових ПІП по галузі "Культура та інформація"</t>
  </si>
  <si>
    <t>Разом по галузі "Культура та інформація"</t>
  </si>
  <si>
    <t>Департамент цивільного захисту та оборонної роботи облдержадміністрації</t>
  </si>
  <si>
    <t>Разом по нових ПІП галузі "Транспорт"</t>
  </si>
  <si>
    <t>Разом по галузі "Транспорт"</t>
  </si>
  <si>
    <t xml:space="preserve">Разом по нових ПІП галузі "Громадська безпека" </t>
  </si>
  <si>
    <t xml:space="preserve">Разом по галузі "Громадська безпека" </t>
  </si>
  <si>
    <t>Департамент соціального захисту населення облдержадміністрації</t>
  </si>
  <si>
    <t>Разом по нових ПІП галузі "Соціальна сфера"</t>
  </si>
  <si>
    <t>Разом по галузі "Соціальна сфера"</t>
  </si>
  <si>
    <t>Управління житлово - комунального господарства та енергозбереження облдержадміністрації</t>
  </si>
  <si>
    <t>Разом по галузі "Муніципальна інфраструктура та послуги"</t>
  </si>
  <si>
    <t>Разом по галузі "Довкілля"</t>
  </si>
  <si>
    <t>Департамент екології та природних ресурсів облдержадміністрації</t>
  </si>
  <si>
    <t>Разом по нових ПІП галузі "Спорта та фізичне виховання"</t>
  </si>
  <si>
    <t>Разом по галузі "Спорт та фізичне виховання"</t>
  </si>
  <si>
    <t>Разом по розпочатих ПІП галузі "Освіта і наука"</t>
  </si>
  <si>
    <t>Департамент освіти і науки, молоді та спорту облдержадміністрації</t>
  </si>
  <si>
    <t>Разом по нових ПІП галузі "Освіта і наука"</t>
  </si>
  <si>
    <t>Разом по галузі "Освіта і наука"</t>
  </si>
  <si>
    <t>Департамент охорони здоров'я облдержадміністрації</t>
  </si>
  <si>
    <t>Департамент економічного та регіонального розвитку облдержадміністрації</t>
  </si>
  <si>
    <t>Разом по розпочатих ПІП галузі "Охорона здоро'я"</t>
  </si>
  <si>
    <t>Разом по нових ПІП галузі "Охорона здоров'я"</t>
  </si>
  <si>
    <t>Разом по галузі "Охорона здоров'я"</t>
  </si>
  <si>
    <t>Закарпатська обласна рада</t>
  </si>
  <si>
    <t xml:space="preserve">міжбюджетні трансферти з інших місцевих бюджетів, обласний бюджет </t>
  </si>
  <si>
    <t>Закарпатська обласна рада, Департамент освіти і науки, молоді та спорту облдержадміністрації</t>
  </si>
  <si>
    <t>Субвенція з державного бюджету місцевим бюджетам на реалізацію проектів у рамках Програми відновлення України ІІІ</t>
  </si>
  <si>
    <t>Разом, в тому числі</t>
  </si>
  <si>
    <t>субвенції з державного бюджету</t>
  </si>
  <si>
    <t>міжбюджетні трансферти з інших місцевих бюджетів</t>
  </si>
  <si>
    <t>обласний бюджет</t>
  </si>
  <si>
    <t>Обласний бюджет , міжбюджетні трансферти з інших місцевих бюджетів</t>
  </si>
  <si>
    <t>Обласний бюджет/ субвенція з державного бюджету</t>
  </si>
  <si>
    <t xml:space="preserve">Обласний бюджет, освітня субвенція з державного бюджету, міжбюджетні трансферти з інших місцевих бюджетів </t>
  </si>
  <si>
    <t>DREAM-UA-020326-9830AA9E</t>
  </si>
  <si>
    <t>Капітальний ремонт котельні Комунального закладу вищої освіти "Академія культури і мистецтв" Закарпатської обласної ради по вул. Минайська, 38/80 в м. Ужгород</t>
  </si>
  <si>
    <t>DREAM-UA-020326-BC466D2A</t>
  </si>
  <si>
    <t>Капітальний ремонт внутрішніх мереж водопостачання, водовідвення та електропостачання(частковий) гуртожитку Комунального закладу вищої освіти "Академія культури і мистецтв" Закарпатської обласної ради по вулиці Минайська  38/80 в м. Ужгород для розміщення внутрішньопереміщених та/або евакуйованих осіб.</t>
  </si>
  <si>
    <t>DREAM-UA-270226-3773F90B</t>
  </si>
  <si>
    <t>Реконструкція частини приміщень першого поверху гуртожитку та створення навчально-виробничих майстерень,  лабораторій та харчоблоку з професій «Кухар», «Кондитер» Комунального закладу «Хустський професійний коледж» Закарпатської обласної ради за адресою м.Хуст, вул.Масарика Томаша, 11 А</t>
  </si>
  <si>
    <t>DREAM-UA-270226-9D7EEBAE</t>
  </si>
  <si>
    <t>Капітальний ремонт спального корпусу літ. Б Ужгородського наукового ліцею Закарпатської обласної ради за адресою: вул. Загорська 28, м. Ужгород</t>
  </si>
  <si>
    <t>DREAM-UA-050326-DA9B5356</t>
  </si>
  <si>
    <t>«Нове будівництво лікувального корпусу КНП "Обласний клінічний фтизіопульмонологічний лікувально-діагностичний центр" Закарпатської обласної ради, за адресою: вул. Залізнична 14, с. Нижня Апша, Тячівського району, Закарпатської області (завершення будівництва)»</t>
  </si>
  <si>
    <t>DREAM-UA-221225-ECF98A51</t>
  </si>
  <si>
    <t>Капітальний ремонт котельні та системи опалення КНП"Обласний заклад з надання психіатричної допомоги м.Берегова" за адресою: вулиця Сергія Мартина, 2 в м.Ужгород</t>
  </si>
  <si>
    <t>Капітальний ремонт внутрішніх мереж водопостачання котельні літери "Е", зовнішніх мереж водопостачання та опалення за адресою: вул. Тімірязева, 15а в м. Ужгород.Коригування</t>
  </si>
  <si>
    <t>DREAM-UA-240226-4DA6DBFD</t>
  </si>
  <si>
    <t>DREAM-UA-271225-28E42EA0</t>
  </si>
  <si>
    <t>Капітальний ремонт I поверху літери «А» за адресою: вулиця Сергія Мартина, 2 в м.Ужгород". Коригування</t>
  </si>
  <si>
    <t>DREAM-UA-250226-9752A9A6</t>
  </si>
  <si>
    <t>DREAM-UA-260226-AD0B28D0</t>
  </si>
  <si>
    <t>Реконструкція будівель та споруд об'єктів спортивної інфраструктури розташованих за адресою: місто Ужгород, вулиця Заньковецької, будинок 5. 1 черга: Реконструкція ігрового спортивного залу №1. Коригування</t>
  </si>
  <si>
    <t>Разом по розпочатих ПІП галузі "Культура та інформація"</t>
  </si>
  <si>
    <t>Капітальний ремонт із заміною вікон ігрового спортивного залу №3 за адресою: м. Ужгород, вул. Заньковецької, буд. 5 з врахуванням потреб осіб з інвалідністю та інших маломобільних груп населення</t>
  </si>
  <si>
    <t>DREAM-UA-060326-6FADBA2D</t>
  </si>
  <si>
    <t>«Капітальний ремонт корпусу «В»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</si>
  <si>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DREAM-UA-061025 - 4СС83В5С</t>
  </si>
  <si>
    <t>DREAM-UA-021025-6471B635</t>
  </si>
  <si>
    <t>DREAM-UA-091025-34F263F0</t>
  </si>
  <si>
    <t>DREAM-UA-161025-8D7BDADF</t>
  </si>
  <si>
    <t>DREAM-UA-161025-AF691915</t>
  </si>
  <si>
    <t>DREAM-UA-261025-662555DA</t>
  </si>
  <si>
    <t>DREAM-UA-291025-2255B5B1</t>
  </si>
  <si>
    <t>DREAM-UA-291025-A69FC533</t>
  </si>
  <si>
    <t>DREAM-UA-131025-78D6A0E9</t>
  </si>
  <si>
    <t>DREAM-UA-211025-1DFD31A4</t>
  </si>
  <si>
    <t>DREAM-UA-151025-81898BDA</t>
  </si>
  <si>
    <t>DREAM-UA-151025-AE54C0E0</t>
  </si>
  <si>
    <t>DREAM-UA-161025-3FCCFAD6</t>
  </si>
  <si>
    <t>DREAM-UA-161025-7B42F09A</t>
  </si>
  <si>
    <t>DREAM-UA-290925-307642A2</t>
  </si>
  <si>
    <t>DREAM-UA-271025-45AB6EA0</t>
  </si>
  <si>
    <t>DREAM-UA-221025-6D149468</t>
  </si>
  <si>
    <t>DREAM-UA-031025-8C963127</t>
  </si>
  <si>
    <t>DREAM-UA-241025-D536EAF4</t>
  </si>
  <si>
    <t>DREAM-UA-101025-2A76A8C2</t>
  </si>
  <si>
    <t>DREAM-UA-141025-14AFF49E</t>
  </si>
  <si>
    <t>DREAM-UA-201025-2F4D8649</t>
  </si>
  <si>
    <t>DREAM-UA-211025-CC3BF14A</t>
  </si>
  <si>
    <t>DREAM-UA-211025-E8B6C101</t>
  </si>
  <si>
    <t>DREAM-UA-231025-7EDDA8FA</t>
  </si>
  <si>
    <t>DREAM-UA-241025-0D8B187F</t>
  </si>
  <si>
    <t>DREAM-UA-241025-2EB6BAE5</t>
  </si>
  <si>
    <t>DREAM-UA-241025-14F9E49A</t>
  </si>
  <si>
    <t>DREAM-UA-241025-A43ECDB1</t>
  </si>
  <si>
    <t>DREAM-UA-290925-8AE89AD4</t>
  </si>
  <si>
    <t>DREAM-UA-290925-48920754</t>
  </si>
  <si>
    <t>DREAM-UA-300925-8895BB14</t>
  </si>
  <si>
    <t>DREAM-UA-241025-9F465FBD</t>
  </si>
  <si>
    <t>DREAM-UA-251025-823896EF</t>
  </si>
  <si>
    <t>DREAM-UA-301025-BEC55720</t>
  </si>
  <si>
    <t>DREAM-UA-231025-54CB08E4</t>
  </si>
  <si>
    <t>DREAM-UA-311025-1D1135CB</t>
  </si>
  <si>
    <t>DREAM-UA-260925-1436A9AD</t>
  </si>
  <si>
    <t>DREAM-UA-230925-DE2D3720</t>
  </si>
  <si>
    <t>DREAM-UA-021125-965B3F2D</t>
  </si>
  <si>
    <t>DREAM-UA-121125-AC6D4FA0</t>
  </si>
  <si>
    <t>DREAM-UA-051125-3F83E74F</t>
  </si>
  <si>
    <t>DREAM-UA-041125-991C0837</t>
  </si>
  <si>
    <t>DREAM-UA-300925-10453D88</t>
  </si>
  <si>
    <t>DREAM-UA-131025-93A45B99</t>
  </si>
  <si>
    <t>DREAM-UA-131025-8660DF88</t>
  </si>
  <si>
    <t>DREAM-UA-071125-F09D6513</t>
  </si>
  <si>
    <t>DREAM-UA-201025-2CA09081</t>
  </si>
  <si>
    <t>DREAM-UA-061125-80386633</t>
  </si>
  <si>
    <t>DREAM-UA-131025-ABE50A2E</t>
  </si>
  <si>
    <t>DREAM-UA-151025-D17A262E</t>
  </si>
  <si>
    <t>DREAM-UA-250925-8F9753FF</t>
  </si>
  <si>
    <t>DREAM-UA-300925-E0B06B61</t>
  </si>
  <si>
    <t>DREAM-UA-300925-C038E53C</t>
  </si>
  <si>
    <t>DREAM-UA-131025-DAE83A57</t>
  </si>
  <si>
    <t>DREAM-UA-011025-D3FBE49A</t>
  </si>
  <si>
    <t xml:space="preserve">Капітальний ремонт фасаду з облаштуванням прилеглої території гуртожитку літери А за адресою:вул.Лева,11 в м.Берегово </t>
  </si>
  <si>
    <t>Капітальний ремонт фасаду гуртожитку та прилеглої території за адресою: вул.Томаша Масарика 11а, м.Хуст, Закарпатська область</t>
  </si>
  <si>
    <t>DREAM-UA-260226-89FCB98F</t>
  </si>
  <si>
    <t>DREAM-UA-270226-65755FAF</t>
  </si>
  <si>
    <t>Капітальний ремонт автомобільної дороги загального користування місцевого значення О 071002 Свалява-Довге-Липча км 46+900-53+200</t>
  </si>
  <si>
    <t>DREAM-UA-250526-C578294F</t>
  </si>
  <si>
    <t>Придбання обладнання з монтажем та пусконалагодженням для створення комплексів розпізнавання облич водіїв Інформаційно-аналітичної системи „Ситуаційний центр „Безпекове Закарпаття”</t>
  </si>
  <si>
    <t>DREAM-UA-040626-EF5C3C17</t>
  </si>
  <si>
    <t>Реконструкція будівлі пральні літера Ф Відокремленого відділення с.Вільшани, 225 "КОМУНАЛЬНОЇ УСТАНОВИ "МУКАЧІВСЬКИЙ ПСИХОНЕВРОЛОГІЧНИЙ ІНТЕРНАТ" ЗАКАРПАТСЬКОЇ ОБЛАСНОЇ РАДИ" за адресою: с.Вільшани, 225, Хустського району, Закарпатської області"</t>
  </si>
  <si>
    <t>Закупівля шкільних автобусів для забезпечення безперешкодного доступу до освіти – Закарпатської області</t>
  </si>
  <si>
    <t>Реконструкція зовнішніх мереж та споруд водопостачання та каналізації з влаштуванням очистних споруд будівель КНП «Обласний заклад з надання психіатричної допомоги м. Берегова» ЗОР, за адресою: вул. Батозі, 1, містечко Чікош, с. Яноші, Берегівського район</t>
  </si>
  <si>
    <t>DREAM-UA-090326-135E7CB9</t>
  </si>
  <si>
    <t>DREAM-UA-250526-790E58D6</t>
  </si>
  <si>
    <t>DREAM-UA-210526-5034А43F</t>
  </si>
  <si>
    <t>DREAM-UA-210526-9510E79E</t>
  </si>
  <si>
    <t>DREAM-UA-110526-145A5496</t>
  </si>
  <si>
    <t>Облаштування Осередку викладання навчального предмета «Захист України» на базі Комунального закладу «Хустський професійний коледж» Закарпатської обласної ради сучасними засобами навчання та обладнанням</t>
  </si>
  <si>
    <t>DREAM-UA-250526-49CA1E47</t>
  </si>
  <si>
    <t xml:space="preserve">Обласний бюджет, освітня субвенція з державного бюджету. </t>
  </si>
  <si>
    <t>Створення осередку для забезпечення навчального предмета «Захист України» в ЗАКЛАДІ ПРОФЕСІЙНОЇ (ПРОФЕСІЙНО-ТЕХНІЧНОЇ) ОСВІТИ «ВИНОГРАДІВСЬКИЙ ПРОФЕСІЙНИЙ КОЛЕДЖ»</t>
  </si>
  <si>
    <t>DREAM-UA-270526-7730EBCD</t>
  </si>
  <si>
    <t>Створення навчально-практичного центру харчових технологій для підготовки спеціалістів із професій харчування, зокрема: кухар, кондитер</t>
  </si>
  <si>
    <t>DREAM-UA-120526-0457DCFA</t>
  </si>
  <si>
    <t>Завершення проєкту "Створення навчально-практичного центру сучасних металообробних технологій"</t>
  </si>
  <si>
    <t>DREAM-UA-300426-D72BBF72</t>
  </si>
  <si>
    <t>Модернізація (дооснащення) інсуючого навчально-практичного центру та лабораторії з професії монтажник санітарно-технічних систем і устаткування у Комунальному закладі «Хустський професійний коледж» Закарпатської обласної ради</t>
  </si>
  <si>
    <t>DREAM-UA-110526-68473AEC</t>
  </si>
  <si>
    <t>Створення сучасного навчально-практичного центру будівельного спрямування з професії “Опоряджувальник будівельний” на базі Комунального закладу “Міжгірський професійний коледж” Закарпатської обласної ради</t>
  </si>
  <si>
    <t>DREAM-UA-190526-A5F1AA10</t>
  </si>
  <si>
    <t>SMARTENERGY-Транскордонне співробітництво для підвищення енергоефективності з використанням відновлюваних джерел енергії</t>
  </si>
  <si>
    <t>DREAM-UA-020626-49DD9C25</t>
  </si>
  <si>
    <t>Нове будівництво комунального закладу дошкільної освіти на 150 місць у с. Заріччя, вул. Центральна, Іршавського району Закарпатської області (коригування)</t>
  </si>
  <si>
    <t>DREAM-UA-060824-3F35B9FD</t>
  </si>
  <si>
    <t>Капітальний ремонт системи вентиляції підвалу - споруди подвійного призначення із захисними властивостями протирадіаційного укриття  КЗ "Хустський базовий медичний фаховий коледж" Закарпатської обласної ради</t>
  </si>
  <si>
    <t>DREAM-UA-230426-B374D6DB</t>
  </si>
  <si>
    <t xml:space="preserve">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t>
  </si>
  <si>
    <t>DREAM-UA-240526-300DAD10</t>
  </si>
  <si>
    <t>Закупівля: Система рентгенівська діагностична (ДК 021:2015 – 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 НК 031:2024 Z11069005). Для реалізації проекту: «Діти – це майбутнє: інвестиції для покращення якості та доступності медичних послуг у дитячих лікарнях у Білостоці та Мукачеві»/«Children are the future – investments to improve the quality and accessibility of medical services at children’s hospitals in Białystok and Mukachevo», що фінансується Європейським Союзом через Управлінський Орган Програми «Interreg NEXT Польша-Україна 2021-2027», представлений Міністерством фондів розвитку та регіональної політики Республіки Польща в рамках Грантового договору  №PLUA.02.01-IP.01-0026/23-00</t>
  </si>
  <si>
    <r>
      <t xml:space="preserve">публічних інвестиційних проектів та програм публічних інвестицій єдиного проектного портфеля публічних інвестицій регіону  і розподіл публічних інвестицій на їх підготовку та реалізацію на 2026 -2028 роки у розрізі джерел і механізмів фінансового забезпечення (в редакції </t>
    </r>
    <r>
      <rPr>
        <b/>
        <sz val="14"/>
        <rFont val="Times New Roman"/>
        <family val="1"/>
        <charset val="204"/>
      </rPr>
      <t>від 21.08.2026</t>
    </r>
    <r>
      <rPr>
        <sz val="14"/>
        <rFont val="Times New Roman"/>
        <family val="1"/>
        <charset val="204"/>
      </rPr>
      <t>)</t>
    </r>
  </si>
  <si>
    <t>Модернізація, зміцнення матеріально-технічної бази, розвиток інфраструктури закладів загальної середньої та дошкільної освіти Закарпатської області на 2026-2028 роки:</t>
  </si>
  <si>
    <t>«Будівництво блоків А, Б, В та котельні загальноосвітньої школи І-ІІІ ступенів по вул. Фрідєшівська, 16 в смт. Кольчино Мукачівського району Закарпатської області.» Коригування»</t>
  </si>
  <si>
    <t>Капітальний ремонт фасаду та даху будівлі Кольчинського ЗЗСО І-ІІІ ст. за адресою: Закарпатська область, Мукачівський район, селище Кольчино, вул. Фрідєшівська,16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</si>
</sst>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13" x14ac:knownFonts="1">
    <font>
      <sz val="11"/>
      <name val="Calibri"/>
      <scheme val="minor"/>
    </font>
    <font>
      <sz val="13"/>
      <name val="Times New Roman"/>
      <family val="1"/>
      <charset val="204"/>
    </font>
    <font>
      <sz val="11"/>
      <color theme="1"/>
      <name val="Calibri"/>
      <family val="2"/>
      <scheme val="minor"/>
    </font>
    <font>
      <b/>
      <sz val="14"/>
      <name val="Times New Roman"/>
      <family val="1"/>
      <charset val="204"/>
    </font>
    <font>
      <sz val="14"/>
      <color rgb="FF000000"/>
      <name val="Times New Roman"/>
      <family val="1"/>
      <charset val="204"/>
    </font>
    <font>
      <sz val="14"/>
      <name val="Times New Roman"/>
      <family val="1"/>
      <charset val="204"/>
    </font>
    <font>
      <b/>
      <sz val="16"/>
      <name val="Times New Roman"/>
      <family val="1"/>
      <charset val="204"/>
    </font>
    <font>
      <b/>
      <sz val="14"/>
      <name val="Calibri"/>
      <family val="2"/>
      <charset val="204"/>
      <scheme val="minor"/>
    </font>
    <font>
      <sz val="14"/>
      <color rgb="FFFF0000"/>
      <name val="Times New Roman"/>
      <family val="1"/>
      <charset val="204"/>
    </font>
    <font>
      <sz val="8"/>
      <name val="Calibri"/>
      <family val="2"/>
      <charset val="204"/>
      <scheme val="minor"/>
    </font>
    <font>
      <sz val="10"/>
      <name val="Times New Roman"/>
      <family val="1"/>
      <charset val="204"/>
    </font>
    <font>
      <sz val="12"/>
      <name val="Times New Roman"/>
      <family val="1"/>
      <charset val="204"/>
    </font>
    <font>
      <b/>
      <sz val="1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78">
    <xf numFmtId="0" fontId="0" fillId="0" borderId="0" xfId="0"/>
    <xf numFmtId="0" fontId="0" fillId="2" borderId="0" xfId="0" applyFill="1"/>
    <xf numFmtId="164" fontId="0" fillId="0" borderId="0" xfId="0" applyNumberFormat="1"/>
    <xf numFmtId="164" fontId="5" fillId="0" borderId="0" xfId="0" applyNumberFormat="1" applyFont="1"/>
    <xf numFmtId="164" fontId="1" fillId="0" borderId="0" xfId="0" applyNumberFormat="1" applyFont="1" applyAlignment="1">
      <alignment horizontal="left" vertical="center"/>
    </xf>
    <xf numFmtId="164" fontId="7" fillId="0" borderId="0" xfId="0" applyNumberFormat="1" applyFont="1" applyAlignment="1">
      <alignment horizontal="center" vertical="center"/>
    </xf>
    <xf numFmtId="0" fontId="0" fillId="4" borderId="0" xfId="0" applyFill="1"/>
    <xf numFmtId="0" fontId="0" fillId="3" borderId="0" xfId="0" applyFill="1"/>
    <xf numFmtId="165" fontId="8" fillId="3" borderId="0" xfId="0" applyNumberFormat="1" applyFont="1" applyFill="1" applyAlignment="1">
      <alignment horizontal="center" vertical="center" wrapText="1"/>
    </xf>
    <xf numFmtId="164" fontId="4" fillId="0" borderId="1" xfId="0" applyNumberFormat="1" applyFont="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1" xfId="0" applyNumberFormat="1" applyFont="1" applyFill="1" applyBorder="1"/>
    <xf numFmtId="165" fontId="5" fillId="2" borderId="1" xfId="0" applyNumberFormat="1" applyFont="1" applyFill="1" applyBorder="1" applyAlignment="1">
      <alignment horizontal="center" vertical="center"/>
    </xf>
    <xf numFmtId="164" fontId="5" fillId="2" borderId="1" xfId="0" applyNumberFormat="1" applyFont="1" applyFill="1" applyBorder="1" applyAlignment="1">
      <alignment vertical="center" wrapText="1"/>
    </xf>
    <xf numFmtId="164"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wrapText="1"/>
    </xf>
    <xf numFmtId="165"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xf>
    <xf numFmtId="0" fontId="5" fillId="2" borderId="0" xfId="0" applyFont="1" applyFill="1" applyAlignment="1">
      <alignment horizontal="center" vertical="center" wrapText="1"/>
    </xf>
    <xf numFmtId="0" fontId="5" fillId="2" borderId="1" xfId="0" applyFont="1" applyFill="1" applyBorder="1" applyAlignment="1">
      <alignment horizontal="left" vertical="center" wrapText="1"/>
    </xf>
    <xf numFmtId="164" fontId="5" fillId="2" borderId="1" xfId="0" applyNumberFormat="1" applyFont="1" applyFill="1" applyBorder="1" applyAlignment="1">
      <alignment horizontal="left" vertical="top"/>
    </xf>
    <xf numFmtId="165" fontId="5" fillId="2" borderId="1" xfId="0" applyNumberFormat="1" applyFont="1" applyFill="1" applyBorder="1" applyAlignment="1">
      <alignment horizontal="center"/>
    </xf>
    <xf numFmtId="164" fontId="5" fillId="2" borderId="1" xfId="0" applyNumberFormat="1" applyFont="1" applyFill="1" applyBorder="1" applyAlignment="1">
      <alignment horizontal="left" vertical="center"/>
    </xf>
    <xf numFmtId="164" fontId="5" fillId="2" borderId="1" xfId="0" applyNumberFormat="1" applyFont="1" applyFill="1" applyBorder="1" applyAlignment="1">
      <alignment vertical="top"/>
    </xf>
    <xf numFmtId="164"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top"/>
    </xf>
    <xf numFmtId="164" fontId="3" fillId="2" borderId="1" xfId="0" applyNumberFormat="1" applyFont="1" applyFill="1" applyBorder="1"/>
    <xf numFmtId="165" fontId="3" fillId="2" borderId="1" xfId="0" applyNumberFormat="1" applyFont="1" applyFill="1" applyBorder="1" applyAlignment="1">
      <alignment horizontal="center" vertical="center"/>
    </xf>
    <xf numFmtId="2" fontId="3" fillId="2" borderId="1" xfId="0" applyNumberFormat="1" applyFont="1" applyFill="1" applyBorder="1"/>
    <xf numFmtId="165" fontId="3" fillId="2" borderId="1" xfId="0" applyNumberFormat="1" applyFont="1" applyFill="1" applyBorder="1" applyAlignment="1">
      <alignment horizontal="center"/>
    </xf>
    <xf numFmtId="1" fontId="5" fillId="2" borderId="1" xfId="0" applyNumberFormat="1" applyFont="1" applyFill="1" applyBorder="1" applyAlignment="1">
      <alignment vertical="center" wrapText="1"/>
    </xf>
    <xf numFmtId="164" fontId="5" fillId="2" borderId="1" xfId="0" applyNumberFormat="1" applyFont="1" applyFill="1" applyBorder="1" applyAlignment="1">
      <alignment horizontal="right" vertical="center" wrapText="1"/>
    </xf>
    <xf numFmtId="1" fontId="5"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65" fontId="5" fillId="2" borderId="1" xfId="0" applyNumberFormat="1" applyFont="1" applyFill="1" applyBorder="1" applyAlignment="1">
      <alignment vertical="center" wrapText="1"/>
    </xf>
    <xf numFmtId="0" fontId="5" fillId="2" borderId="1" xfId="0" applyFont="1" applyFill="1" applyBorder="1" applyAlignment="1">
      <alignment horizontal="left" vertical="top" wrapText="1"/>
    </xf>
    <xf numFmtId="1" fontId="5"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left" vertical="top" wrapText="1"/>
    </xf>
    <xf numFmtId="164" fontId="11" fillId="2" borderId="1" xfId="0" applyNumberFormat="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164" fontId="5" fillId="2" borderId="1" xfId="1" applyNumberFormat="1" applyFont="1" applyFill="1" applyBorder="1" applyAlignment="1">
      <alignment horizontal="left" vertical="center" wrapText="1"/>
    </xf>
    <xf numFmtId="164" fontId="5" fillId="2" borderId="1" xfId="1" applyNumberFormat="1" applyFont="1" applyFill="1" applyBorder="1" applyAlignment="1">
      <alignment horizontal="center" vertical="center" wrapText="1"/>
    </xf>
    <xf numFmtId="164" fontId="5" fillId="2" borderId="1" xfId="1" applyNumberFormat="1" applyFont="1" applyFill="1" applyBorder="1" applyAlignment="1">
      <alignment vertical="center" wrapText="1"/>
    </xf>
    <xf numFmtId="165" fontId="5" fillId="2" borderId="1" xfId="1"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0" fillId="2" borderId="1" xfId="0" applyFill="1" applyBorder="1"/>
    <xf numFmtId="165" fontId="3" fillId="2"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64" fontId="3" fillId="2" borderId="1" xfId="0" applyNumberFormat="1" applyFont="1" applyFill="1" applyBorder="1" applyAlignment="1">
      <alignment horizontal="right" vertical="center" wrapText="1"/>
    </xf>
    <xf numFmtId="164" fontId="5" fillId="2" borderId="1" xfId="0" applyNumberFormat="1" applyFont="1" applyFill="1" applyBorder="1" applyAlignment="1">
      <alignment horizontal="left" vertical="center" wrapText="1"/>
    </xf>
    <xf numFmtId="0" fontId="0" fillId="2" borderId="1" xfId="0" applyFill="1" applyBorder="1" applyAlignment="1">
      <alignment horizontal="left"/>
    </xf>
    <xf numFmtId="164" fontId="3" fillId="0" borderId="1" xfId="0" applyNumberFormat="1"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1" xfId="0" applyNumberFormat="1" applyFont="1" applyBorder="1"/>
    <xf numFmtId="164" fontId="5" fillId="2" borderId="1" xfId="1" applyNumberFormat="1" applyFont="1" applyFill="1" applyBorder="1" applyAlignment="1">
      <alignment vertical="center" wrapText="1"/>
    </xf>
    <xf numFmtId="0" fontId="0" fillId="2" borderId="1" xfId="0" applyFill="1" applyBorder="1" applyAlignment="1">
      <alignment vertical="center" wrapText="1"/>
    </xf>
    <xf numFmtId="1" fontId="5"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164" fontId="5" fillId="2" borderId="1" xfId="1"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2" borderId="1" xfId="0" applyNumberFormat="1" applyFont="1" applyFill="1" applyBorder="1"/>
    <xf numFmtId="164" fontId="3" fillId="2" borderId="1" xfId="0" applyNumberFormat="1" applyFont="1" applyFill="1" applyBorder="1" applyAlignment="1">
      <alignment horizontal="center"/>
    </xf>
    <xf numFmtId="164" fontId="6" fillId="0" borderId="0" xfId="0" applyNumberFormat="1" applyFont="1" applyAlignment="1">
      <alignment horizontal="center" vertical="center"/>
    </xf>
    <xf numFmtId="164" fontId="5" fillId="0" borderId="0" xfId="0" applyNumberFormat="1" applyFont="1" applyAlignment="1">
      <alignment horizontal="center" wrapText="1"/>
    </xf>
    <xf numFmtId="164" fontId="5" fillId="0" borderId="1" xfId="0" applyNumberFormat="1" applyFont="1" applyBorder="1" applyAlignment="1">
      <alignment horizontal="center" vertical="center" wrapText="1"/>
    </xf>
    <xf numFmtId="164" fontId="5" fillId="2" borderId="1" xfId="0" applyNumberFormat="1" applyFont="1" applyFill="1" applyBorder="1" applyAlignment="1">
      <alignment wrapText="1"/>
    </xf>
    <xf numFmtId="164" fontId="5" fillId="2" borderId="1" xfId="0" applyNumberFormat="1" applyFont="1" applyFill="1" applyBorder="1" applyAlignment="1">
      <alignment horizontal="right" vertical="center" wrapText="1"/>
    </xf>
    <xf numFmtId="164" fontId="3"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164" fontId="5" fillId="2" borderId="1" xfId="0" applyNumberFormat="1" applyFont="1" applyFill="1" applyBorder="1" applyAlignment="1">
      <alignment horizontal="left" vertical="top"/>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91"/>
  <sheetViews>
    <sheetView tabSelected="1" view="pageBreakPreview" zoomScale="80" zoomScaleNormal="100" zoomScaleSheetLayoutView="80" workbookViewId="0">
      <pane ySplit="6" topLeftCell="A108" activePane="bottomLeft" state="frozen"/>
      <selection pane="bottomLeft" activeCell="K110" sqref="K110"/>
    </sheetView>
  </sheetViews>
  <sheetFormatPr defaultColWidth="11.28515625" defaultRowHeight="15" customHeight="1" x14ac:dyDescent="0.25"/>
  <cols>
    <col min="1" max="1" width="6.140625" customWidth="1"/>
    <col min="2" max="2" width="15.85546875" customWidth="1"/>
    <col min="3" max="3" width="76" customWidth="1"/>
    <col min="4" max="4" width="16" customWidth="1"/>
    <col min="5" max="5" width="13.5703125" customWidth="1"/>
    <col min="6" max="6" width="15.42578125" customWidth="1"/>
    <col min="7" max="8" width="16.28515625" customWidth="1"/>
    <col min="9" max="9" width="19.140625" customWidth="1"/>
    <col min="10" max="10" width="16.7109375" customWidth="1"/>
    <col min="11" max="11" width="27.28515625" customWidth="1"/>
    <col min="12" max="12" width="19.28515625" customWidth="1"/>
    <col min="13" max="13" width="22.7109375" customWidth="1"/>
    <col min="14" max="14" width="15.42578125" bestFit="1" customWidth="1"/>
  </cols>
  <sheetData>
    <row r="1" spans="1:11" ht="21" customHeight="1" x14ac:dyDescent="0.3">
      <c r="A1" s="3"/>
      <c r="B1" s="3"/>
      <c r="C1" s="66" t="s">
        <v>154</v>
      </c>
      <c r="D1" s="66"/>
      <c r="E1" s="66"/>
      <c r="F1" s="66"/>
      <c r="G1" s="66"/>
      <c r="H1" s="66"/>
      <c r="I1" s="66"/>
      <c r="J1" s="3"/>
      <c r="K1" s="3"/>
    </row>
    <row r="2" spans="1:11" ht="23.25" customHeight="1" x14ac:dyDescent="0.25">
      <c r="A2" s="67" t="s">
        <v>319</v>
      </c>
      <c r="B2" s="67"/>
      <c r="C2" s="67"/>
      <c r="D2" s="67"/>
      <c r="E2" s="67"/>
      <c r="F2" s="67"/>
      <c r="G2" s="67"/>
      <c r="H2" s="67"/>
      <c r="I2" s="67"/>
      <c r="J2" s="67"/>
      <c r="K2" s="67"/>
    </row>
    <row r="3" spans="1:11" ht="23.25" customHeight="1" x14ac:dyDescent="0.25">
      <c r="A3" s="67"/>
      <c r="B3" s="67"/>
      <c r="C3" s="67"/>
      <c r="D3" s="67"/>
      <c r="E3" s="67"/>
      <c r="F3" s="67"/>
      <c r="G3" s="67"/>
      <c r="H3" s="67"/>
      <c r="I3" s="67"/>
      <c r="J3" s="67"/>
      <c r="K3" s="67"/>
    </row>
    <row r="4" spans="1:11" ht="16.5" customHeight="1" x14ac:dyDescent="0.25">
      <c r="A4" s="4"/>
      <c r="B4" s="2"/>
      <c r="C4" s="2"/>
      <c r="D4" s="2"/>
      <c r="E4" s="2"/>
      <c r="F4" s="2"/>
      <c r="G4" s="2"/>
      <c r="H4" s="2"/>
      <c r="I4" s="2"/>
      <c r="J4" s="2"/>
      <c r="K4" s="5" t="s">
        <v>70</v>
      </c>
    </row>
    <row r="5" spans="1:11" ht="75" customHeight="1" x14ac:dyDescent="0.25">
      <c r="A5" s="56" t="s">
        <v>147</v>
      </c>
      <c r="B5" s="56" t="s">
        <v>156</v>
      </c>
      <c r="C5" s="56" t="s">
        <v>157</v>
      </c>
      <c r="D5" s="56" t="s">
        <v>158</v>
      </c>
      <c r="E5" s="56" t="s">
        <v>148</v>
      </c>
      <c r="F5" s="68" t="s">
        <v>149</v>
      </c>
      <c r="G5" s="68"/>
      <c r="H5" s="68"/>
      <c r="I5" s="68"/>
      <c r="J5" s="56" t="s">
        <v>6</v>
      </c>
      <c r="K5" s="56" t="s">
        <v>7</v>
      </c>
    </row>
    <row r="6" spans="1:11" ht="109.5" customHeight="1" x14ac:dyDescent="0.25">
      <c r="A6" s="56"/>
      <c r="B6" s="56"/>
      <c r="C6" s="56"/>
      <c r="D6" s="56"/>
      <c r="E6" s="56"/>
      <c r="F6" s="9" t="s">
        <v>150</v>
      </c>
      <c r="G6" s="9" t="s">
        <v>151</v>
      </c>
      <c r="H6" s="9" t="s">
        <v>152</v>
      </c>
      <c r="I6" s="9" t="s">
        <v>153</v>
      </c>
      <c r="J6" s="56"/>
      <c r="K6" s="56"/>
    </row>
    <row r="7" spans="1:11" ht="24.75" customHeight="1" x14ac:dyDescent="0.25">
      <c r="A7" s="55" t="s">
        <v>4</v>
      </c>
      <c r="B7" s="55"/>
      <c r="C7" s="55"/>
      <c r="D7" s="55"/>
      <c r="E7" s="55"/>
      <c r="F7" s="55"/>
      <c r="G7" s="55"/>
      <c r="H7" s="55"/>
      <c r="I7" s="55"/>
      <c r="J7" s="55"/>
      <c r="K7" s="55"/>
    </row>
    <row r="8" spans="1:11" ht="18.75" x14ac:dyDescent="0.3">
      <c r="A8" s="56" t="s">
        <v>0</v>
      </c>
      <c r="B8" s="57"/>
      <c r="C8" s="57"/>
      <c r="D8" s="57"/>
      <c r="E8" s="57"/>
      <c r="F8" s="57"/>
      <c r="G8" s="57"/>
      <c r="H8" s="57"/>
      <c r="I8" s="57"/>
      <c r="J8" s="57"/>
      <c r="K8" s="57"/>
    </row>
    <row r="9" spans="1:11" ht="56.25" x14ac:dyDescent="0.25">
      <c r="A9" s="30">
        <v>1</v>
      </c>
      <c r="B9" s="10" t="s">
        <v>202</v>
      </c>
      <c r="C9" s="14" t="s">
        <v>203</v>
      </c>
      <c r="D9" s="10" t="s">
        <v>4</v>
      </c>
      <c r="E9" s="31"/>
      <c r="F9" s="16">
        <f>1000+2200</f>
        <v>3200</v>
      </c>
      <c r="G9" s="16">
        <v>0</v>
      </c>
      <c r="H9" s="16">
        <v>0</v>
      </c>
      <c r="I9" s="16">
        <f>F9+G9+H9</f>
        <v>3200</v>
      </c>
      <c r="J9" s="10" t="s">
        <v>159</v>
      </c>
      <c r="K9" s="10" t="s">
        <v>191</v>
      </c>
    </row>
    <row r="10" spans="1:11" ht="112.5" x14ac:dyDescent="0.25">
      <c r="A10" s="30">
        <v>2</v>
      </c>
      <c r="B10" s="10" t="s">
        <v>204</v>
      </c>
      <c r="C10" s="14" t="s">
        <v>205</v>
      </c>
      <c r="D10" s="10" t="s">
        <v>4</v>
      </c>
      <c r="E10" s="31"/>
      <c r="F10" s="16">
        <v>2052.6999999999998</v>
      </c>
      <c r="G10" s="16">
        <v>0</v>
      </c>
      <c r="H10" s="16">
        <v>0</v>
      </c>
      <c r="I10" s="16">
        <f>F10+G10+H10</f>
        <v>2052.6999999999998</v>
      </c>
      <c r="J10" s="10" t="s">
        <v>159</v>
      </c>
      <c r="K10" s="10" t="s">
        <v>191</v>
      </c>
    </row>
    <row r="11" spans="1:11" ht="15" customHeight="1" x14ac:dyDescent="0.25">
      <c r="A11" s="53" t="s">
        <v>221</v>
      </c>
      <c r="B11" s="54"/>
      <c r="C11" s="54"/>
      <c r="D11" s="31"/>
      <c r="E11" s="31"/>
      <c r="F11" s="10">
        <f>F9+F10</f>
        <v>5252.7</v>
      </c>
      <c r="G11" s="10">
        <v>0</v>
      </c>
      <c r="H11" s="10">
        <v>0</v>
      </c>
      <c r="I11" s="16">
        <f t="shared" ref="I11" si="0">F11+G11+H11</f>
        <v>5252.7</v>
      </c>
      <c r="J11" s="10"/>
      <c r="K11" s="31"/>
    </row>
    <row r="12" spans="1:11" ht="18.75" x14ac:dyDescent="0.3">
      <c r="A12" s="63" t="s">
        <v>2</v>
      </c>
      <c r="B12" s="64"/>
      <c r="C12" s="64"/>
      <c r="D12" s="64"/>
      <c r="E12" s="64"/>
      <c r="F12" s="64"/>
      <c r="G12" s="64"/>
      <c r="H12" s="64"/>
      <c r="I12" s="64"/>
      <c r="J12" s="64"/>
      <c r="K12" s="64"/>
    </row>
    <row r="13" spans="1:11" ht="131.25" customHeight="1" x14ac:dyDescent="0.25">
      <c r="A13" s="30">
        <v>1</v>
      </c>
      <c r="B13" s="10" t="s">
        <v>3</v>
      </c>
      <c r="C13" s="14" t="s">
        <v>163</v>
      </c>
      <c r="D13" s="10" t="s">
        <v>4</v>
      </c>
      <c r="E13" s="31"/>
      <c r="F13" s="16">
        <f>3500-2200</f>
        <v>1300</v>
      </c>
      <c r="G13" s="16">
        <v>500</v>
      </c>
      <c r="H13" s="16">
        <v>0</v>
      </c>
      <c r="I13" s="16">
        <f>F13+G13+H13</f>
        <v>1800</v>
      </c>
      <c r="J13" s="10" t="s">
        <v>159</v>
      </c>
      <c r="K13" s="10" t="s">
        <v>164</v>
      </c>
    </row>
    <row r="14" spans="1:11" ht="70.5" customHeight="1" x14ac:dyDescent="0.25">
      <c r="A14" s="30">
        <v>2</v>
      </c>
      <c r="B14" s="10" t="s">
        <v>5</v>
      </c>
      <c r="C14" s="14" t="s">
        <v>162</v>
      </c>
      <c r="D14" s="10" t="s">
        <v>4</v>
      </c>
      <c r="E14" s="31"/>
      <c r="F14" s="16">
        <v>1500</v>
      </c>
      <c r="G14" s="16">
        <v>6500</v>
      </c>
      <c r="H14" s="16">
        <v>5000</v>
      </c>
      <c r="I14" s="16">
        <f t="shared" ref="I14" si="1">F14+G14+H14</f>
        <v>13000</v>
      </c>
      <c r="J14" s="10" t="s">
        <v>159</v>
      </c>
      <c r="K14" s="10" t="s">
        <v>164</v>
      </c>
    </row>
    <row r="15" spans="1:11" ht="47.25" customHeight="1" x14ac:dyDescent="0.3">
      <c r="A15" s="64" t="s">
        <v>166</v>
      </c>
      <c r="B15" s="64"/>
      <c r="C15" s="64"/>
      <c r="D15" s="11"/>
      <c r="E15" s="11"/>
      <c r="F15" s="12">
        <f>SUM(F13:F14)</f>
        <v>2800</v>
      </c>
      <c r="G15" s="12">
        <f>SUM(G13:G14)</f>
        <v>7000</v>
      </c>
      <c r="H15" s="12">
        <f>SUM(H13:H14)</f>
        <v>5000</v>
      </c>
      <c r="I15" s="12">
        <f>SUM(I13:I14)</f>
        <v>14800</v>
      </c>
      <c r="J15" s="11"/>
      <c r="K15" s="11"/>
    </row>
    <row r="16" spans="1:11" ht="39" customHeight="1" x14ac:dyDescent="0.3">
      <c r="A16" s="64" t="s">
        <v>167</v>
      </c>
      <c r="B16" s="64"/>
      <c r="C16" s="64"/>
      <c r="D16" s="64"/>
      <c r="E16" s="11"/>
      <c r="F16" s="12">
        <f>F15+F11</f>
        <v>8052.7</v>
      </c>
      <c r="G16" s="12">
        <f>G15+G11</f>
        <v>7000</v>
      </c>
      <c r="H16" s="12">
        <f>H15+H11</f>
        <v>5000</v>
      </c>
      <c r="I16" s="12">
        <f>I15+I11</f>
        <v>20052.7</v>
      </c>
      <c r="J16" s="11"/>
      <c r="K16" s="11"/>
    </row>
    <row r="17" spans="1:11" ht="24.75" customHeight="1" x14ac:dyDescent="0.3">
      <c r="A17" s="65" t="s">
        <v>8</v>
      </c>
      <c r="B17" s="65"/>
      <c r="C17" s="65"/>
      <c r="D17" s="65"/>
      <c r="E17" s="65"/>
      <c r="F17" s="65"/>
      <c r="G17" s="65"/>
      <c r="H17" s="65"/>
      <c r="I17" s="65"/>
      <c r="J17" s="65"/>
      <c r="K17" s="65"/>
    </row>
    <row r="18" spans="1:11" ht="24.75" customHeight="1" x14ac:dyDescent="0.3">
      <c r="A18" s="63" t="s">
        <v>0</v>
      </c>
      <c r="B18" s="64"/>
      <c r="C18" s="64"/>
      <c r="D18" s="64"/>
      <c r="E18" s="64"/>
      <c r="F18" s="64"/>
      <c r="G18" s="64"/>
      <c r="H18" s="64"/>
      <c r="I18" s="64"/>
      <c r="J18" s="64"/>
      <c r="K18" s="64"/>
    </row>
    <row r="19" spans="1:11" ht="140.25" customHeight="1" x14ac:dyDescent="0.25">
      <c r="A19" s="32">
        <v>1</v>
      </c>
      <c r="B19" s="10" t="s">
        <v>59</v>
      </c>
      <c r="C19" s="14" t="s">
        <v>60</v>
      </c>
      <c r="D19" s="10" t="s">
        <v>8</v>
      </c>
      <c r="E19" s="31"/>
      <c r="F19" s="16">
        <f>25000-25000</f>
        <v>0</v>
      </c>
      <c r="G19" s="16">
        <v>2000</v>
      </c>
      <c r="H19" s="16">
        <v>2000</v>
      </c>
      <c r="I19" s="16">
        <f>F19+G19+H19</f>
        <v>4000</v>
      </c>
      <c r="J19" s="10" t="s">
        <v>159</v>
      </c>
      <c r="K19" s="33" t="s">
        <v>165</v>
      </c>
    </row>
    <row r="20" spans="1:11" ht="24" customHeight="1" x14ac:dyDescent="0.3">
      <c r="A20" s="63" t="s">
        <v>2</v>
      </c>
      <c r="B20" s="64"/>
      <c r="C20" s="64"/>
      <c r="D20" s="64"/>
      <c r="E20" s="64"/>
      <c r="F20" s="64"/>
      <c r="G20" s="64"/>
      <c r="H20" s="64"/>
      <c r="I20" s="64"/>
      <c r="J20" s="64"/>
      <c r="K20" s="64"/>
    </row>
    <row r="21" spans="1:11" ht="132.75" customHeight="1" x14ac:dyDescent="0.25">
      <c r="A21" s="32">
        <v>1</v>
      </c>
      <c r="B21" s="10" t="s">
        <v>9</v>
      </c>
      <c r="C21" s="14" t="s">
        <v>10</v>
      </c>
      <c r="D21" s="10" t="s">
        <v>8</v>
      </c>
      <c r="E21" s="13"/>
      <c r="F21" s="16">
        <v>0</v>
      </c>
      <c r="G21" s="16">
        <v>10000</v>
      </c>
      <c r="H21" s="16">
        <v>13000</v>
      </c>
      <c r="I21" s="16">
        <f>F21+G21+H21</f>
        <v>23000</v>
      </c>
      <c r="J21" s="10" t="s">
        <v>159</v>
      </c>
      <c r="K21" s="33" t="s">
        <v>165</v>
      </c>
    </row>
    <row r="22" spans="1:11" ht="140.25" customHeight="1" x14ac:dyDescent="0.25">
      <c r="A22" s="32">
        <v>2</v>
      </c>
      <c r="B22" s="10" t="s">
        <v>11</v>
      </c>
      <c r="C22" s="14" t="s">
        <v>12</v>
      </c>
      <c r="D22" s="10" t="s">
        <v>8</v>
      </c>
      <c r="E22" s="13"/>
      <c r="F22" s="16">
        <v>0</v>
      </c>
      <c r="G22" s="16">
        <v>10000</v>
      </c>
      <c r="H22" s="16">
        <v>13000</v>
      </c>
      <c r="I22" s="16">
        <f t="shared" ref="I22:I46" si="2">F22+G22+H22</f>
        <v>23000</v>
      </c>
      <c r="J22" s="10" t="s">
        <v>159</v>
      </c>
      <c r="K22" s="33" t="s">
        <v>165</v>
      </c>
    </row>
    <row r="23" spans="1:11" ht="138.75" customHeight="1" x14ac:dyDescent="0.25">
      <c r="A23" s="32">
        <v>3</v>
      </c>
      <c r="B23" s="10" t="s">
        <v>13</v>
      </c>
      <c r="C23" s="14" t="s">
        <v>14</v>
      </c>
      <c r="D23" s="10" t="s">
        <v>8</v>
      </c>
      <c r="E23" s="13"/>
      <c r="F23" s="16">
        <v>0</v>
      </c>
      <c r="G23" s="16">
        <v>2000</v>
      </c>
      <c r="H23" s="16">
        <v>2000</v>
      </c>
      <c r="I23" s="16">
        <f t="shared" si="2"/>
        <v>4000</v>
      </c>
      <c r="J23" s="10" t="s">
        <v>159</v>
      </c>
      <c r="K23" s="33" t="s">
        <v>165</v>
      </c>
    </row>
    <row r="24" spans="1:11" ht="150.75" customHeight="1" x14ac:dyDescent="0.25">
      <c r="A24" s="32">
        <v>4</v>
      </c>
      <c r="B24" s="10" t="s">
        <v>15</v>
      </c>
      <c r="C24" s="14" t="s">
        <v>16</v>
      </c>
      <c r="D24" s="10" t="s">
        <v>8</v>
      </c>
      <c r="E24" s="13"/>
      <c r="F24" s="16">
        <v>0</v>
      </c>
      <c r="G24" s="16">
        <v>2000</v>
      </c>
      <c r="H24" s="16">
        <v>2000</v>
      </c>
      <c r="I24" s="16">
        <f t="shared" si="2"/>
        <v>4000</v>
      </c>
      <c r="J24" s="10" t="s">
        <v>159</v>
      </c>
      <c r="K24" s="33" t="s">
        <v>165</v>
      </c>
    </row>
    <row r="25" spans="1:11" ht="144" customHeight="1" x14ac:dyDescent="0.25">
      <c r="A25" s="32">
        <v>5</v>
      </c>
      <c r="B25" s="10" t="s">
        <v>17</v>
      </c>
      <c r="C25" s="14" t="s">
        <v>18</v>
      </c>
      <c r="D25" s="10" t="s">
        <v>8</v>
      </c>
      <c r="E25" s="13"/>
      <c r="F25" s="16">
        <v>0</v>
      </c>
      <c r="G25" s="16">
        <v>2000</v>
      </c>
      <c r="H25" s="16">
        <v>2000</v>
      </c>
      <c r="I25" s="16">
        <f t="shared" si="2"/>
        <v>4000</v>
      </c>
      <c r="J25" s="10" t="s">
        <v>159</v>
      </c>
      <c r="K25" s="33" t="s">
        <v>165</v>
      </c>
    </row>
    <row r="26" spans="1:11" ht="148.5" customHeight="1" x14ac:dyDescent="0.25">
      <c r="A26" s="32">
        <v>6</v>
      </c>
      <c r="B26" s="10" t="s">
        <v>19</v>
      </c>
      <c r="C26" s="14" t="s">
        <v>20</v>
      </c>
      <c r="D26" s="10" t="s">
        <v>8</v>
      </c>
      <c r="E26" s="13"/>
      <c r="F26" s="16">
        <v>0</v>
      </c>
      <c r="G26" s="16">
        <v>3000</v>
      </c>
      <c r="H26" s="16">
        <v>3000</v>
      </c>
      <c r="I26" s="16">
        <f t="shared" si="2"/>
        <v>6000</v>
      </c>
      <c r="J26" s="10" t="s">
        <v>159</v>
      </c>
      <c r="K26" s="33" t="s">
        <v>165</v>
      </c>
    </row>
    <row r="27" spans="1:11" ht="149.25" customHeight="1" x14ac:dyDescent="0.25">
      <c r="A27" s="32">
        <v>7</v>
      </c>
      <c r="B27" s="10" t="s">
        <v>21</v>
      </c>
      <c r="C27" s="14" t="s">
        <v>22</v>
      </c>
      <c r="D27" s="10" t="s">
        <v>8</v>
      </c>
      <c r="E27" s="13"/>
      <c r="F27" s="16">
        <v>0</v>
      </c>
      <c r="G27" s="16">
        <v>2000</v>
      </c>
      <c r="H27" s="16">
        <v>2000</v>
      </c>
      <c r="I27" s="16">
        <f t="shared" si="2"/>
        <v>4000</v>
      </c>
      <c r="J27" s="10" t="s">
        <v>159</v>
      </c>
      <c r="K27" s="33" t="s">
        <v>165</v>
      </c>
    </row>
    <row r="28" spans="1:11" ht="145.5" customHeight="1" x14ac:dyDescent="0.25">
      <c r="A28" s="32">
        <v>8</v>
      </c>
      <c r="B28" s="10" t="s">
        <v>23</v>
      </c>
      <c r="C28" s="14" t="s">
        <v>24</v>
      </c>
      <c r="D28" s="10" t="s">
        <v>8</v>
      </c>
      <c r="E28" s="13"/>
      <c r="F28" s="16">
        <v>0</v>
      </c>
      <c r="G28" s="16">
        <v>3000</v>
      </c>
      <c r="H28" s="16">
        <v>3000</v>
      </c>
      <c r="I28" s="16">
        <f t="shared" si="2"/>
        <v>6000</v>
      </c>
      <c r="J28" s="10" t="s">
        <v>159</v>
      </c>
      <c r="K28" s="33" t="s">
        <v>165</v>
      </c>
    </row>
    <row r="29" spans="1:11" ht="145.5" customHeight="1" x14ac:dyDescent="0.25">
      <c r="A29" s="32">
        <v>9</v>
      </c>
      <c r="B29" s="10" t="s">
        <v>25</v>
      </c>
      <c r="C29" s="14" t="s">
        <v>26</v>
      </c>
      <c r="D29" s="10" t="s">
        <v>8</v>
      </c>
      <c r="E29" s="13"/>
      <c r="F29" s="16">
        <v>0</v>
      </c>
      <c r="G29" s="16">
        <v>2000</v>
      </c>
      <c r="H29" s="16">
        <v>2000</v>
      </c>
      <c r="I29" s="16">
        <f t="shared" si="2"/>
        <v>4000</v>
      </c>
      <c r="J29" s="10" t="s">
        <v>159</v>
      </c>
      <c r="K29" s="33" t="s">
        <v>165</v>
      </c>
    </row>
    <row r="30" spans="1:11" ht="149.25" customHeight="1" x14ac:dyDescent="0.25">
      <c r="A30" s="32">
        <v>10</v>
      </c>
      <c r="B30" s="10" t="s">
        <v>27</v>
      </c>
      <c r="C30" s="14" t="s">
        <v>28</v>
      </c>
      <c r="D30" s="10" t="s">
        <v>8</v>
      </c>
      <c r="E30" s="13"/>
      <c r="F30" s="16">
        <v>0</v>
      </c>
      <c r="G30" s="16">
        <v>2000</v>
      </c>
      <c r="H30" s="16">
        <v>2000</v>
      </c>
      <c r="I30" s="16">
        <f t="shared" si="2"/>
        <v>4000</v>
      </c>
      <c r="J30" s="10" t="s">
        <v>159</v>
      </c>
      <c r="K30" s="33" t="s">
        <v>165</v>
      </c>
    </row>
    <row r="31" spans="1:11" ht="143.25" customHeight="1" x14ac:dyDescent="0.25">
      <c r="A31" s="32">
        <v>11</v>
      </c>
      <c r="B31" s="10" t="s">
        <v>29</v>
      </c>
      <c r="C31" s="14" t="s">
        <v>30</v>
      </c>
      <c r="D31" s="10" t="s">
        <v>8</v>
      </c>
      <c r="E31" s="13"/>
      <c r="F31" s="16">
        <v>0</v>
      </c>
      <c r="G31" s="16">
        <v>2000</v>
      </c>
      <c r="H31" s="16">
        <v>2000</v>
      </c>
      <c r="I31" s="16">
        <f t="shared" si="2"/>
        <v>4000</v>
      </c>
      <c r="J31" s="10" t="s">
        <v>159</v>
      </c>
      <c r="K31" s="33" t="s">
        <v>165</v>
      </c>
    </row>
    <row r="32" spans="1:11" ht="145.5" customHeight="1" x14ac:dyDescent="0.25">
      <c r="A32" s="32">
        <v>12</v>
      </c>
      <c r="B32" s="10" t="s">
        <v>31</v>
      </c>
      <c r="C32" s="14" t="s">
        <v>32</v>
      </c>
      <c r="D32" s="10" t="s">
        <v>8</v>
      </c>
      <c r="E32" s="13"/>
      <c r="F32" s="16">
        <v>0</v>
      </c>
      <c r="G32" s="16">
        <v>2000</v>
      </c>
      <c r="H32" s="16">
        <v>2000</v>
      </c>
      <c r="I32" s="16">
        <f t="shared" si="2"/>
        <v>4000</v>
      </c>
      <c r="J32" s="10" t="s">
        <v>159</v>
      </c>
      <c r="K32" s="33" t="s">
        <v>165</v>
      </c>
    </row>
    <row r="33" spans="1:14" ht="147" customHeight="1" x14ac:dyDescent="0.25">
      <c r="A33" s="32">
        <v>13</v>
      </c>
      <c r="B33" s="10" t="s">
        <v>33</v>
      </c>
      <c r="C33" s="14" t="s">
        <v>34</v>
      </c>
      <c r="D33" s="10" t="s">
        <v>8</v>
      </c>
      <c r="E33" s="13"/>
      <c r="F33" s="16">
        <v>0</v>
      </c>
      <c r="G33" s="16">
        <v>2000</v>
      </c>
      <c r="H33" s="16">
        <v>2000</v>
      </c>
      <c r="I33" s="16">
        <f t="shared" si="2"/>
        <v>4000</v>
      </c>
      <c r="J33" s="10" t="s">
        <v>159</v>
      </c>
      <c r="K33" s="33" t="s">
        <v>165</v>
      </c>
    </row>
    <row r="34" spans="1:14" ht="148.5" customHeight="1" x14ac:dyDescent="0.25">
      <c r="A34" s="32">
        <v>14</v>
      </c>
      <c r="B34" s="10" t="s">
        <v>35</v>
      </c>
      <c r="C34" s="14" t="s">
        <v>36</v>
      </c>
      <c r="D34" s="10" t="s">
        <v>8</v>
      </c>
      <c r="E34" s="13"/>
      <c r="F34" s="16">
        <v>0</v>
      </c>
      <c r="G34" s="16">
        <v>2000</v>
      </c>
      <c r="H34" s="16">
        <v>2000</v>
      </c>
      <c r="I34" s="16">
        <f t="shared" si="2"/>
        <v>4000</v>
      </c>
      <c r="J34" s="10" t="s">
        <v>159</v>
      </c>
      <c r="K34" s="33" t="s">
        <v>165</v>
      </c>
    </row>
    <row r="35" spans="1:14" ht="142.5" customHeight="1" x14ac:dyDescent="0.25">
      <c r="A35" s="32">
        <v>15</v>
      </c>
      <c r="B35" s="10" t="s">
        <v>37</v>
      </c>
      <c r="C35" s="14" t="s">
        <v>38</v>
      </c>
      <c r="D35" s="10" t="s">
        <v>8</v>
      </c>
      <c r="E35" s="13"/>
      <c r="F35" s="16">
        <v>0</v>
      </c>
      <c r="G35" s="16">
        <v>2000</v>
      </c>
      <c r="H35" s="16">
        <v>2000</v>
      </c>
      <c r="I35" s="16">
        <f t="shared" si="2"/>
        <v>4000</v>
      </c>
      <c r="J35" s="10" t="s">
        <v>159</v>
      </c>
      <c r="K35" s="33" t="s">
        <v>165</v>
      </c>
    </row>
    <row r="36" spans="1:14" ht="144" customHeight="1" x14ac:dyDescent="0.25">
      <c r="A36" s="32">
        <v>16</v>
      </c>
      <c r="B36" s="10" t="s">
        <v>39</v>
      </c>
      <c r="C36" s="14" t="s">
        <v>40</v>
      </c>
      <c r="D36" s="10" t="s">
        <v>8</v>
      </c>
      <c r="E36" s="13"/>
      <c r="F36" s="16">
        <v>0</v>
      </c>
      <c r="G36" s="16">
        <v>10000</v>
      </c>
      <c r="H36" s="16">
        <v>13000</v>
      </c>
      <c r="I36" s="16">
        <f t="shared" si="2"/>
        <v>23000</v>
      </c>
      <c r="J36" s="10" t="s">
        <v>159</v>
      </c>
      <c r="K36" s="33" t="s">
        <v>165</v>
      </c>
    </row>
    <row r="37" spans="1:14" ht="144.75" customHeight="1" x14ac:dyDescent="0.25">
      <c r="A37" s="32">
        <v>17</v>
      </c>
      <c r="B37" s="10" t="s">
        <v>41</v>
      </c>
      <c r="C37" s="14" t="s">
        <v>42</v>
      </c>
      <c r="D37" s="10" t="s">
        <v>8</v>
      </c>
      <c r="E37" s="13"/>
      <c r="F37" s="16">
        <v>0</v>
      </c>
      <c r="G37" s="16">
        <v>2750</v>
      </c>
      <c r="H37" s="16">
        <v>3750</v>
      </c>
      <c r="I37" s="16">
        <f t="shared" si="2"/>
        <v>6500</v>
      </c>
      <c r="J37" s="10" t="s">
        <v>159</v>
      </c>
      <c r="K37" s="33" t="s">
        <v>165</v>
      </c>
    </row>
    <row r="38" spans="1:14" ht="147.75" customHeight="1" x14ac:dyDescent="0.25">
      <c r="A38" s="32">
        <v>18</v>
      </c>
      <c r="B38" s="10" t="s">
        <v>43</v>
      </c>
      <c r="C38" s="14" t="s">
        <v>44</v>
      </c>
      <c r="D38" s="10" t="s">
        <v>8</v>
      </c>
      <c r="E38" s="13"/>
      <c r="F38" s="16">
        <v>0</v>
      </c>
      <c r="G38" s="16">
        <v>2000</v>
      </c>
      <c r="H38" s="16">
        <v>2000</v>
      </c>
      <c r="I38" s="16">
        <f t="shared" si="2"/>
        <v>4000</v>
      </c>
      <c r="J38" s="10" t="s">
        <v>159</v>
      </c>
      <c r="K38" s="33" t="s">
        <v>165</v>
      </c>
    </row>
    <row r="39" spans="1:14" ht="141" customHeight="1" x14ac:dyDescent="0.25">
      <c r="A39" s="32">
        <v>19</v>
      </c>
      <c r="B39" s="10" t="s">
        <v>45</v>
      </c>
      <c r="C39" s="14" t="s">
        <v>46</v>
      </c>
      <c r="D39" s="10" t="s">
        <v>8</v>
      </c>
      <c r="E39" s="13"/>
      <c r="F39" s="16">
        <v>0</v>
      </c>
      <c r="G39" s="16">
        <v>2000</v>
      </c>
      <c r="H39" s="16">
        <v>2000</v>
      </c>
      <c r="I39" s="16">
        <f t="shared" si="2"/>
        <v>4000</v>
      </c>
      <c r="J39" s="10" t="s">
        <v>159</v>
      </c>
      <c r="K39" s="33" t="s">
        <v>165</v>
      </c>
    </row>
    <row r="40" spans="1:14" ht="146.25" customHeight="1" x14ac:dyDescent="0.25">
      <c r="A40" s="32">
        <v>20</v>
      </c>
      <c r="B40" s="10" t="s">
        <v>47</v>
      </c>
      <c r="C40" s="14" t="s">
        <v>48</v>
      </c>
      <c r="D40" s="10" t="s">
        <v>8</v>
      </c>
      <c r="E40" s="13"/>
      <c r="F40" s="16">
        <v>0</v>
      </c>
      <c r="G40" s="16">
        <v>3000</v>
      </c>
      <c r="H40" s="16">
        <v>3000</v>
      </c>
      <c r="I40" s="16">
        <f t="shared" si="2"/>
        <v>6000</v>
      </c>
      <c r="J40" s="10" t="s">
        <v>159</v>
      </c>
      <c r="K40" s="33" t="s">
        <v>165</v>
      </c>
    </row>
    <row r="41" spans="1:14" s="1" customFormat="1" ht="138.75" customHeight="1" x14ac:dyDescent="0.25">
      <c r="A41" s="32">
        <v>21</v>
      </c>
      <c r="B41" s="10" t="s">
        <v>49</v>
      </c>
      <c r="C41" s="14" t="s">
        <v>50</v>
      </c>
      <c r="D41" s="10" t="s">
        <v>8</v>
      </c>
      <c r="E41" s="13"/>
      <c r="F41" s="16">
        <v>0</v>
      </c>
      <c r="G41" s="16">
        <v>2000</v>
      </c>
      <c r="H41" s="16">
        <v>2000</v>
      </c>
      <c r="I41" s="16">
        <f t="shared" si="2"/>
        <v>4000</v>
      </c>
      <c r="J41" s="10" t="s">
        <v>159</v>
      </c>
      <c r="K41" s="33" t="s">
        <v>165</v>
      </c>
    </row>
    <row r="42" spans="1:14" s="1" customFormat="1" ht="147" customHeight="1" x14ac:dyDescent="0.25">
      <c r="A42" s="32">
        <v>22</v>
      </c>
      <c r="B42" s="10" t="s">
        <v>51</v>
      </c>
      <c r="C42" s="14" t="s">
        <v>52</v>
      </c>
      <c r="D42" s="10" t="s">
        <v>8</v>
      </c>
      <c r="E42" s="13"/>
      <c r="F42" s="16">
        <v>0</v>
      </c>
      <c r="G42" s="16">
        <v>250</v>
      </c>
      <c r="H42" s="16">
        <v>250</v>
      </c>
      <c r="I42" s="16">
        <f t="shared" si="2"/>
        <v>500</v>
      </c>
      <c r="J42" s="10" t="s">
        <v>159</v>
      </c>
      <c r="K42" s="33" t="s">
        <v>165</v>
      </c>
    </row>
    <row r="43" spans="1:14" ht="139.5" customHeight="1" x14ac:dyDescent="0.25">
      <c r="A43" s="32">
        <v>23</v>
      </c>
      <c r="B43" s="10" t="s">
        <v>53</v>
      </c>
      <c r="C43" s="14" t="s">
        <v>54</v>
      </c>
      <c r="D43" s="10" t="s">
        <v>8</v>
      </c>
      <c r="E43" s="13"/>
      <c r="F43" s="16">
        <v>0</v>
      </c>
      <c r="G43" s="16">
        <v>3000</v>
      </c>
      <c r="H43" s="16">
        <v>3000</v>
      </c>
      <c r="I43" s="16">
        <f t="shared" si="2"/>
        <v>6000</v>
      </c>
      <c r="J43" s="10" t="s">
        <v>159</v>
      </c>
      <c r="K43" s="33" t="s">
        <v>165</v>
      </c>
    </row>
    <row r="44" spans="1:14" ht="158.25" customHeight="1" x14ac:dyDescent="0.25">
      <c r="A44" s="32">
        <v>24</v>
      </c>
      <c r="B44" s="10" t="s">
        <v>55</v>
      </c>
      <c r="C44" s="14" t="s">
        <v>56</v>
      </c>
      <c r="D44" s="10" t="s">
        <v>8</v>
      </c>
      <c r="E44" s="13"/>
      <c r="F44" s="16">
        <v>0</v>
      </c>
      <c r="G44" s="16">
        <v>2000</v>
      </c>
      <c r="H44" s="16">
        <v>2000</v>
      </c>
      <c r="I44" s="16">
        <f t="shared" si="2"/>
        <v>4000</v>
      </c>
      <c r="J44" s="10" t="s">
        <v>159</v>
      </c>
      <c r="K44" s="33" t="s">
        <v>165</v>
      </c>
    </row>
    <row r="45" spans="1:14" ht="144.75" customHeight="1" x14ac:dyDescent="0.25">
      <c r="A45" s="32">
        <v>25</v>
      </c>
      <c r="B45" s="10" t="s">
        <v>57</v>
      </c>
      <c r="C45" s="14" t="s">
        <v>58</v>
      </c>
      <c r="D45" s="10" t="s">
        <v>8</v>
      </c>
      <c r="E45" s="13"/>
      <c r="F45" s="16">
        <v>0</v>
      </c>
      <c r="G45" s="16">
        <v>3000</v>
      </c>
      <c r="H45" s="16">
        <v>3000</v>
      </c>
      <c r="I45" s="16">
        <f t="shared" si="2"/>
        <v>6000</v>
      </c>
      <c r="J45" s="10" t="s">
        <v>159</v>
      </c>
      <c r="K45" s="33" t="s">
        <v>165</v>
      </c>
    </row>
    <row r="46" spans="1:14" s="7" customFormat="1" ht="144.75" customHeight="1" x14ac:dyDescent="0.25">
      <c r="A46" s="32">
        <v>27</v>
      </c>
      <c r="B46" s="34" t="s">
        <v>286</v>
      </c>
      <c r="C46" s="19" t="s">
        <v>285</v>
      </c>
      <c r="D46" s="10" t="s">
        <v>8</v>
      </c>
      <c r="E46" s="10"/>
      <c r="F46" s="16">
        <f>24000-23000</f>
        <v>1000</v>
      </c>
      <c r="G46" s="16">
        <v>0</v>
      </c>
      <c r="H46" s="16">
        <v>0</v>
      </c>
      <c r="I46" s="16">
        <f t="shared" si="2"/>
        <v>1000</v>
      </c>
      <c r="J46" s="10"/>
      <c r="K46" s="33" t="s">
        <v>165</v>
      </c>
      <c r="L46" s="8"/>
      <c r="M46" s="8"/>
      <c r="N46" s="8"/>
    </row>
    <row r="47" spans="1:14" ht="27.75" customHeight="1" x14ac:dyDescent="0.3">
      <c r="A47" s="64" t="s">
        <v>169</v>
      </c>
      <c r="B47" s="64"/>
      <c r="C47" s="64"/>
      <c r="D47" s="11"/>
      <c r="E47" s="11"/>
      <c r="F47" s="12">
        <f>SUM(F21:F46)</f>
        <v>1000</v>
      </c>
      <c r="G47" s="12">
        <f>SUM(G21:G46)</f>
        <v>78000</v>
      </c>
      <c r="H47" s="12">
        <f>SUM(H21:H45)</f>
        <v>88000</v>
      </c>
      <c r="I47" s="12">
        <f>SUM(I21:I46)</f>
        <v>167000</v>
      </c>
      <c r="J47" s="11"/>
      <c r="K47" s="11"/>
    </row>
    <row r="48" spans="1:14" ht="24.75" customHeight="1" x14ac:dyDescent="0.3">
      <c r="A48" s="64" t="s">
        <v>170</v>
      </c>
      <c r="B48" s="64"/>
      <c r="C48" s="64"/>
      <c r="D48" s="64"/>
      <c r="E48" s="11"/>
      <c r="F48" s="12">
        <f>F19+F47</f>
        <v>1000</v>
      </c>
      <c r="G48" s="12">
        <f>G47+G19</f>
        <v>80000</v>
      </c>
      <c r="H48" s="12">
        <f>H19+H47</f>
        <v>90000</v>
      </c>
      <c r="I48" s="12">
        <f>I19+I47</f>
        <v>171000</v>
      </c>
      <c r="J48" s="11"/>
      <c r="K48" s="11"/>
    </row>
    <row r="49" spans="1:14" ht="27" customHeight="1" x14ac:dyDescent="0.3">
      <c r="A49" s="65" t="s">
        <v>73</v>
      </c>
      <c r="B49" s="65"/>
      <c r="C49" s="65"/>
      <c r="D49" s="65"/>
      <c r="E49" s="65"/>
      <c r="F49" s="65"/>
      <c r="G49" s="65"/>
      <c r="H49" s="65"/>
      <c r="I49" s="65"/>
      <c r="J49" s="65"/>
      <c r="K49" s="65"/>
    </row>
    <row r="50" spans="1:14" ht="32.25" customHeight="1" x14ac:dyDescent="0.3">
      <c r="A50" s="63" t="s">
        <v>0</v>
      </c>
      <c r="B50" s="64"/>
      <c r="C50" s="64"/>
      <c r="D50" s="64"/>
      <c r="E50" s="64"/>
      <c r="F50" s="64"/>
      <c r="G50" s="64"/>
      <c r="H50" s="64"/>
      <c r="I50" s="64"/>
      <c r="J50" s="64"/>
      <c r="K50" s="64"/>
    </row>
    <row r="51" spans="1:14" ht="174.75" customHeight="1" x14ac:dyDescent="0.25">
      <c r="A51" s="32">
        <v>1</v>
      </c>
      <c r="B51" s="13" t="s">
        <v>88</v>
      </c>
      <c r="C51" s="14" t="s">
        <v>161</v>
      </c>
      <c r="D51" s="13" t="s">
        <v>61</v>
      </c>
      <c r="E51" s="31"/>
      <c r="F51" s="35">
        <f>10000+10000+8896.4185-10000</f>
        <v>18896.4185</v>
      </c>
      <c r="G51" s="35">
        <v>20000</v>
      </c>
      <c r="H51" s="35">
        <v>20000</v>
      </c>
      <c r="I51" s="35">
        <f>F51+G51+H51</f>
        <v>58896.4185</v>
      </c>
      <c r="J51" s="10" t="s">
        <v>199</v>
      </c>
      <c r="K51" s="10" t="s">
        <v>165</v>
      </c>
    </row>
    <row r="52" spans="1:14" ht="37.5" customHeight="1" x14ac:dyDescent="0.3">
      <c r="A52" s="63" t="s">
        <v>2</v>
      </c>
      <c r="B52" s="64"/>
      <c r="C52" s="64"/>
      <c r="D52" s="64"/>
      <c r="E52" s="64"/>
      <c r="F52" s="64"/>
      <c r="G52" s="64"/>
      <c r="H52" s="64"/>
      <c r="I52" s="64"/>
      <c r="J52" s="64"/>
      <c r="K52" s="64"/>
    </row>
    <row r="53" spans="1:14" ht="85.5" customHeight="1" x14ac:dyDescent="0.3">
      <c r="A53" s="32">
        <v>1</v>
      </c>
      <c r="B53" s="10" t="s">
        <v>62</v>
      </c>
      <c r="C53" s="14" t="s">
        <v>63</v>
      </c>
      <c r="D53" s="10" t="s">
        <v>61</v>
      </c>
      <c r="E53" s="15"/>
      <c r="F53" s="16">
        <f>10000+1430</f>
        <v>11430</v>
      </c>
      <c r="G53" s="16">
        <v>0</v>
      </c>
      <c r="H53" s="16">
        <v>0</v>
      </c>
      <c r="I53" s="16">
        <f t="shared" ref="I53:I56" si="3">F53+G53+H53</f>
        <v>11430</v>
      </c>
      <c r="J53" s="10" t="s">
        <v>159</v>
      </c>
      <c r="K53" s="10" t="s">
        <v>168</v>
      </c>
    </row>
    <row r="54" spans="1:14" ht="126.75" customHeight="1" x14ac:dyDescent="0.3">
      <c r="A54" s="32">
        <v>2</v>
      </c>
      <c r="B54" s="10" t="s">
        <v>64</v>
      </c>
      <c r="C54" s="14" t="s">
        <v>65</v>
      </c>
      <c r="D54" s="10" t="s">
        <v>61</v>
      </c>
      <c r="E54" s="15"/>
      <c r="F54" s="16">
        <v>0</v>
      </c>
      <c r="G54" s="16">
        <v>16000</v>
      </c>
      <c r="H54" s="16">
        <v>17000</v>
      </c>
      <c r="I54" s="16">
        <f t="shared" si="3"/>
        <v>33000</v>
      </c>
      <c r="J54" s="10" t="s">
        <v>159</v>
      </c>
      <c r="K54" s="10" t="s">
        <v>168</v>
      </c>
    </row>
    <row r="55" spans="1:14" ht="123" customHeight="1" x14ac:dyDescent="0.3">
      <c r="A55" s="32">
        <v>3</v>
      </c>
      <c r="B55" s="10" t="s">
        <v>66</v>
      </c>
      <c r="C55" s="14" t="s">
        <v>67</v>
      </c>
      <c r="D55" s="10" t="s">
        <v>61</v>
      </c>
      <c r="E55" s="15"/>
      <c r="F55" s="16">
        <v>0</v>
      </c>
      <c r="G55" s="16">
        <v>9000</v>
      </c>
      <c r="H55" s="16">
        <v>11000</v>
      </c>
      <c r="I55" s="16">
        <f t="shared" si="3"/>
        <v>20000</v>
      </c>
      <c r="J55" s="10" t="s">
        <v>159</v>
      </c>
      <c r="K55" s="10" t="s">
        <v>168</v>
      </c>
    </row>
    <row r="56" spans="1:14" ht="128.25" customHeight="1" x14ac:dyDescent="0.3">
      <c r="A56" s="32">
        <v>4</v>
      </c>
      <c r="B56" s="10" t="s">
        <v>68</v>
      </c>
      <c r="C56" s="14" t="s">
        <v>69</v>
      </c>
      <c r="D56" s="10" t="s">
        <v>61</v>
      </c>
      <c r="E56" s="15"/>
      <c r="F56" s="16">
        <v>0</v>
      </c>
      <c r="G56" s="16">
        <v>40000</v>
      </c>
      <c r="H56" s="16">
        <v>50000</v>
      </c>
      <c r="I56" s="16">
        <f t="shared" si="3"/>
        <v>90000</v>
      </c>
      <c r="J56" s="10" t="s">
        <v>159</v>
      </c>
      <c r="K56" s="10" t="s">
        <v>168</v>
      </c>
    </row>
    <row r="57" spans="1:14" ht="127.5" customHeight="1" x14ac:dyDescent="0.3">
      <c r="A57" s="32">
        <v>5</v>
      </c>
      <c r="B57" s="10" t="s">
        <v>71</v>
      </c>
      <c r="C57" s="14" t="s">
        <v>72</v>
      </c>
      <c r="D57" s="10" t="s">
        <v>61</v>
      </c>
      <c r="E57" s="15"/>
      <c r="F57" s="16">
        <v>0</v>
      </c>
      <c r="G57" s="16">
        <v>15000</v>
      </c>
      <c r="H57" s="16">
        <v>22000</v>
      </c>
      <c r="I57" s="16">
        <f>G57+H57</f>
        <v>37000</v>
      </c>
      <c r="J57" s="10" t="s">
        <v>159</v>
      </c>
      <c r="K57" s="10" t="s">
        <v>168</v>
      </c>
    </row>
    <row r="58" spans="1:14" ht="151.5" customHeight="1" x14ac:dyDescent="0.3">
      <c r="A58" s="32">
        <v>6</v>
      </c>
      <c r="B58" s="19" t="s">
        <v>288</v>
      </c>
      <c r="C58" s="19" t="s">
        <v>287</v>
      </c>
      <c r="D58" s="10" t="s">
        <v>61</v>
      </c>
      <c r="E58" s="15"/>
      <c r="F58" s="16">
        <v>10000</v>
      </c>
      <c r="G58" s="16">
        <v>0</v>
      </c>
      <c r="H58" s="16">
        <v>0</v>
      </c>
      <c r="I58" s="16">
        <f>G58+H58+F58</f>
        <v>10000</v>
      </c>
      <c r="J58" s="10"/>
      <c r="K58" s="10" t="s">
        <v>165</v>
      </c>
      <c r="L58" s="8"/>
      <c r="M58" s="8"/>
      <c r="N58" s="8"/>
    </row>
    <row r="59" spans="1:14" ht="36.75" customHeight="1" x14ac:dyDescent="0.3">
      <c r="A59" s="69" t="s">
        <v>171</v>
      </c>
      <c r="B59" s="69"/>
      <c r="C59" s="69"/>
      <c r="D59" s="64"/>
      <c r="E59" s="11"/>
      <c r="F59" s="12">
        <f>SUM(F53:F58)</f>
        <v>21430</v>
      </c>
      <c r="G59" s="12">
        <f>SUM(G53:G57)</f>
        <v>80000</v>
      </c>
      <c r="H59" s="12">
        <f>SUM(H53:H57)</f>
        <v>100000</v>
      </c>
      <c r="I59" s="12">
        <f>SUM(I53:I58)</f>
        <v>201430</v>
      </c>
      <c r="J59" s="11"/>
      <c r="K59" s="11"/>
    </row>
    <row r="60" spans="1:14" ht="40.5" customHeight="1" x14ac:dyDescent="0.3">
      <c r="A60" s="64" t="s">
        <v>172</v>
      </c>
      <c r="B60" s="64"/>
      <c r="C60" s="64"/>
      <c r="D60" s="64"/>
      <c r="E60" s="11"/>
      <c r="F60" s="12">
        <f>F59+F51</f>
        <v>40326.4185</v>
      </c>
      <c r="G60" s="12">
        <f>G59+G51</f>
        <v>100000</v>
      </c>
      <c r="H60" s="12">
        <f>H59+H51</f>
        <v>120000</v>
      </c>
      <c r="I60" s="12">
        <f>I59+I51</f>
        <v>260326.4185</v>
      </c>
      <c r="J60" s="11"/>
      <c r="K60" s="11"/>
    </row>
    <row r="61" spans="1:14" ht="26.25" customHeight="1" x14ac:dyDescent="0.3">
      <c r="A61" s="65" t="s">
        <v>74</v>
      </c>
      <c r="B61" s="65"/>
      <c r="C61" s="65"/>
      <c r="D61" s="65"/>
      <c r="E61" s="65"/>
      <c r="F61" s="65"/>
      <c r="G61" s="65"/>
      <c r="H61" s="65"/>
      <c r="I61" s="65"/>
      <c r="J61" s="65"/>
      <c r="K61" s="65"/>
    </row>
    <row r="62" spans="1:14" ht="27.75" customHeight="1" x14ac:dyDescent="0.3">
      <c r="A62" s="63" t="s">
        <v>0</v>
      </c>
      <c r="B62" s="64"/>
      <c r="C62" s="64"/>
      <c r="D62" s="64"/>
      <c r="E62" s="64"/>
      <c r="F62" s="64"/>
      <c r="G62" s="64"/>
      <c r="H62" s="64"/>
      <c r="I62" s="64"/>
      <c r="J62" s="64"/>
      <c r="K62" s="64"/>
    </row>
    <row r="63" spans="1:14" s="1" customFormat="1" ht="171.75" customHeight="1" x14ac:dyDescent="0.25">
      <c r="A63" s="32">
        <v>1</v>
      </c>
      <c r="B63" s="13" t="s">
        <v>225</v>
      </c>
      <c r="C63" s="13" t="s">
        <v>83</v>
      </c>
      <c r="D63" s="10" t="s">
        <v>76</v>
      </c>
      <c r="E63" s="31"/>
      <c r="F63" s="35">
        <f>25000+51100+13742.7-23500</f>
        <v>66342.7</v>
      </c>
      <c r="G63" s="35">
        <v>55000</v>
      </c>
      <c r="H63" s="35">
        <v>55000</v>
      </c>
      <c r="I63" s="35">
        <f>F63+G63+H63</f>
        <v>176342.7</v>
      </c>
      <c r="J63" s="10" t="s">
        <v>199</v>
      </c>
      <c r="K63" s="10" t="s">
        <v>165</v>
      </c>
    </row>
    <row r="64" spans="1:14" ht="33" customHeight="1" x14ac:dyDescent="0.3">
      <c r="A64" s="63" t="s">
        <v>2</v>
      </c>
      <c r="B64" s="64"/>
      <c r="C64" s="64"/>
      <c r="D64" s="64"/>
      <c r="E64" s="64"/>
      <c r="F64" s="64"/>
      <c r="G64" s="64"/>
      <c r="H64" s="64"/>
      <c r="I64" s="64"/>
      <c r="J64" s="64"/>
      <c r="K64" s="64"/>
    </row>
    <row r="65" spans="1:12" ht="136.5" customHeight="1" x14ac:dyDescent="0.25">
      <c r="A65" s="32">
        <v>1</v>
      </c>
      <c r="B65" s="10" t="s">
        <v>226</v>
      </c>
      <c r="C65" s="13" t="s">
        <v>75</v>
      </c>
      <c r="D65" s="10" t="s">
        <v>76</v>
      </c>
      <c r="E65" s="10"/>
      <c r="F65" s="16">
        <v>0</v>
      </c>
      <c r="G65" s="16">
        <v>10251.9</v>
      </c>
      <c r="H65" s="16">
        <v>5000</v>
      </c>
      <c r="I65" s="16">
        <f>F65+G65+H65</f>
        <v>15251.9</v>
      </c>
      <c r="J65" s="10" t="s">
        <v>159</v>
      </c>
      <c r="K65" s="10" t="s">
        <v>173</v>
      </c>
    </row>
    <row r="66" spans="1:12" ht="156" customHeight="1" x14ac:dyDescent="0.3">
      <c r="A66" s="32">
        <v>2</v>
      </c>
      <c r="B66" s="34" t="s">
        <v>296</v>
      </c>
      <c r="C66" s="36" t="s">
        <v>289</v>
      </c>
      <c r="D66" s="10" t="s">
        <v>76</v>
      </c>
      <c r="E66" s="11"/>
      <c r="F66" s="12">
        <v>11000</v>
      </c>
      <c r="G66" s="12">
        <v>6000</v>
      </c>
      <c r="H66" s="12">
        <v>0</v>
      </c>
      <c r="I66" s="16">
        <f>F66+G66+H66</f>
        <v>17000</v>
      </c>
      <c r="J66" s="10" t="s">
        <v>159</v>
      </c>
      <c r="K66" s="10" t="s">
        <v>173</v>
      </c>
      <c r="L66" s="8"/>
    </row>
    <row r="67" spans="1:12" ht="99" customHeight="1" x14ac:dyDescent="0.3">
      <c r="A67" s="32">
        <v>3</v>
      </c>
      <c r="B67" s="10" t="s">
        <v>227</v>
      </c>
      <c r="C67" s="14" t="s">
        <v>77</v>
      </c>
      <c r="D67" s="10" t="s">
        <v>76</v>
      </c>
      <c r="E67" s="11"/>
      <c r="F67" s="12">
        <v>0</v>
      </c>
      <c r="G67" s="12">
        <v>0</v>
      </c>
      <c r="H67" s="12">
        <v>2500</v>
      </c>
      <c r="I67" s="16">
        <f>H67</f>
        <v>2500</v>
      </c>
      <c r="J67" s="10" t="s">
        <v>159</v>
      </c>
      <c r="K67" s="10" t="s">
        <v>173</v>
      </c>
    </row>
    <row r="68" spans="1:12" ht="105" customHeight="1" x14ac:dyDescent="0.3">
      <c r="A68" s="32">
        <v>4</v>
      </c>
      <c r="B68" s="10" t="s">
        <v>228</v>
      </c>
      <c r="C68" s="14" t="s">
        <v>78</v>
      </c>
      <c r="D68" s="10" t="s">
        <v>76</v>
      </c>
      <c r="E68" s="11"/>
      <c r="F68" s="12">
        <v>0</v>
      </c>
      <c r="G68" s="12">
        <v>3098.1</v>
      </c>
      <c r="H68" s="12">
        <v>0</v>
      </c>
      <c r="I68" s="16">
        <f>H68+G68</f>
        <v>3098.1</v>
      </c>
      <c r="J68" s="10" t="s">
        <v>159</v>
      </c>
      <c r="K68" s="10" t="s">
        <v>173</v>
      </c>
    </row>
    <row r="69" spans="1:12" ht="111" customHeight="1" x14ac:dyDescent="0.3">
      <c r="A69" s="32">
        <v>5</v>
      </c>
      <c r="B69" s="10" t="s">
        <v>229</v>
      </c>
      <c r="C69" s="14" t="s">
        <v>79</v>
      </c>
      <c r="D69" s="10" t="s">
        <v>76</v>
      </c>
      <c r="E69" s="11"/>
      <c r="F69" s="12">
        <v>0</v>
      </c>
      <c r="G69" s="12">
        <v>0</v>
      </c>
      <c r="H69" s="12">
        <v>10000</v>
      </c>
      <c r="I69" s="16">
        <f>H69</f>
        <v>10000</v>
      </c>
      <c r="J69" s="10" t="s">
        <v>159</v>
      </c>
      <c r="K69" s="10" t="s">
        <v>173</v>
      </c>
    </row>
    <row r="70" spans="1:12" ht="115.5" customHeight="1" x14ac:dyDescent="0.25">
      <c r="A70" s="32">
        <v>6</v>
      </c>
      <c r="B70" s="10" t="s">
        <v>230</v>
      </c>
      <c r="C70" s="14" t="s">
        <v>80</v>
      </c>
      <c r="D70" s="10" t="s">
        <v>76</v>
      </c>
      <c r="E70" s="10"/>
      <c r="F70" s="16">
        <v>0</v>
      </c>
      <c r="G70" s="16">
        <v>2800</v>
      </c>
      <c r="H70" s="16">
        <v>0</v>
      </c>
      <c r="I70" s="16">
        <f>G70</f>
        <v>2800</v>
      </c>
      <c r="J70" s="10" t="s">
        <v>159</v>
      </c>
      <c r="K70" s="10" t="s">
        <v>173</v>
      </c>
    </row>
    <row r="71" spans="1:12" ht="96" customHeight="1" x14ac:dyDescent="0.3">
      <c r="A71" s="37">
        <v>7</v>
      </c>
      <c r="B71" s="10" t="s">
        <v>231</v>
      </c>
      <c r="C71" s="14" t="s">
        <v>81</v>
      </c>
      <c r="D71" s="10" t="s">
        <v>76</v>
      </c>
      <c r="E71" s="11"/>
      <c r="F71" s="12">
        <v>0</v>
      </c>
      <c r="G71" s="12">
        <v>0</v>
      </c>
      <c r="H71" s="12">
        <f>7850+875</f>
        <v>8725</v>
      </c>
      <c r="I71" s="16">
        <f>H71</f>
        <v>8725</v>
      </c>
      <c r="J71" s="10" t="s">
        <v>159</v>
      </c>
      <c r="K71" s="10" t="s">
        <v>173</v>
      </c>
    </row>
    <row r="72" spans="1:12" ht="113.25" customHeight="1" x14ac:dyDescent="0.25">
      <c r="A72" s="32">
        <v>8</v>
      </c>
      <c r="B72" s="10" t="s">
        <v>232</v>
      </c>
      <c r="C72" s="14" t="s">
        <v>82</v>
      </c>
      <c r="D72" s="10" t="s">
        <v>76</v>
      </c>
      <c r="E72" s="10"/>
      <c r="F72" s="16">
        <v>0</v>
      </c>
      <c r="G72" s="16">
        <v>7850</v>
      </c>
      <c r="H72" s="16">
        <f>4650-875</f>
        <v>3775</v>
      </c>
      <c r="I72" s="16">
        <f>G72+H72</f>
        <v>11625</v>
      </c>
      <c r="J72" s="10" t="s">
        <v>159</v>
      </c>
      <c r="K72" s="10" t="s">
        <v>173</v>
      </c>
    </row>
    <row r="73" spans="1:12" ht="24" customHeight="1" x14ac:dyDescent="0.3">
      <c r="A73" s="64" t="s">
        <v>174</v>
      </c>
      <c r="B73" s="64"/>
      <c r="C73" s="64"/>
      <c r="D73" s="11"/>
      <c r="E73" s="11"/>
      <c r="F73" s="12">
        <f>SUM(F65:F72)</f>
        <v>11000</v>
      </c>
      <c r="G73" s="12">
        <f>SUM(G65:G72)</f>
        <v>30000</v>
      </c>
      <c r="H73" s="12">
        <f>SUM(H65:H72)</f>
        <v>30000</v>
      </c>
      <c r="I73" s="12">
        <f>I71+I70+I69+I68+I67+I66+I65+I72</f>
        <v>71000</v>
      </c>
      <c r="J73" s="11"/>
      <c r="K73" s="13"/>
    </row>
    <row r="74" spans="1:12" ht="32.25" customHeight="1" x14ac:dyDescent="0.3">
      <c r="A74" s="64" t="s">
        <v>175</v>
      </c>
      <c r="B74" s="64"/>
      <c r="C74" s="64"/>
      <c r="D74" s="64"/>
      <c r="E74" s="11"/>
      <c r="F74" s="12">
        <f>F73+F63</f>
        <v>77342.7</v>
      </c>
      <c r="G74" s="12">
        <f>G73+G63</f>
        <v>85000</v>
      </c>
      <c r="H74" s="12">
        <f>H73+H63</f>
        <v>85000</v>
      </c>
      <c r="I74" s="12">
        <f>I73+I63</f>
        <v>247342.7</v>
      </c>
      <c r="J74" s="11"/>
      <c r="K74" s="11"/>
    </row>
    <row r="75" spans="1:12" ht="18" customHeight="1" x14ac:dyDescent="0.3">
      <c r="A75" s="65" t="s">
        <v>84</v>
      </c>
      <c r="B75" s="65"/>
      <c r="C75" s="65"/>
      <c r="D75" s="65"/>
      <c r="E75" s="65"/>
      <c r="F75" s="65"/>
      <c r="G75" s="65"/>
      <c r="H75" s="65"/>
      <c r="I75" s="65"/>
      <c r="J75" s="65"/>
      <c r="K75" s="65"/>
    </row>
    <row r="76" spans="1:12" ht="30.75" customHeight="1" x14ac:dyDescent="0.3">
      <c r="A76" s="63" t="s">
        <v>0</v>
      </c>
      <c r="B76" s="64"/>
      <c r="C76" s="64"/>
      <c r="D76" s="64"/>
      <c r="E76" s="64"/>
      <c r="F76" s="64"/>
      <c r="G76" s="64"/>
      <c r="H76" s="64"/>
      <c r="I76" s="64"/>
      <c r="J76" s="64"/>
      <c r="K76" s="64"/>
    </row>
    <row r="77" spans="1:12" ht="15.75" customHeight="1" x14ac:dyDescent="0.25">
      <c r="A77" s="70"/>
      <c r="B77" s="70"/>
      <c r="C77" s="70" t="s">
        <v>1</v>
      </c>
      <c r="D77" s="70"/>
      <c r="E77" s="70"/>
      <c r="F77" s="63"/>
      <c r="G77" s="63"/>
      <c r="H77" s="63"/>
      <c r="I77" s="63"/>
      <c r="J77" s="63"/>
      <c r="K77" s="70"/>
    </row>
    <row r="78" spans="1:12" ht="9.75" customHeight="1" x14ac:dyDescent="0.25">
      <c r="A78" s="64"/>
      <c r="B78" s="64"/>
      <c r="C78" s="64"/>
      <c r="D78" s="64"/>
      <c r="E78" s="64"/>
      <c r="F78" s="64"/>
      <c r="G78" s="64"/>
      <c r="H78" s="64"/>
      <c r="I78" s="64"/>
      <c r="J78" s="64"/>
      <c r="K78" s="64"/>
    </row>
    <row r="79" spans="1:12" ht="25.5" customHeight="1" x14ac:dyDescent="0.3">
      <c r="A79" s="63" t="s">
        <v>2</v>
      </c>
      <c r="B79" s="64"/>
      <c r="C79" s="64"/>
      <c r="D79" s="64"/>
      <c r="E79" s="64"/>
      <c r="F79" s="64"/>
      <c r="G79" s="64"/>
      <c r="H79" s="64"/>
      <c r="I79" s="64"/>
      <c r="J79" s="64"/>
      <c r="K79" s="64"/>
    </row>
    <row r="80" spans="1:12" ht="116.25" customHeight="1" x14ac:dyDescent="0.25">
      <c r="A80" s="32">
        <v>1</v>
      </c>
      <c r="B80" s="10" t="s">
        <v>233</v>
      </c>
      <c r="C80" s="14" t="s">
        <v>85</v>
      </c>
      <c r="D80" s="10" t="s">
        <v>84</v>
      </c>
      <c r="E80" s="31"/>
      <c r="F80" s="16">
        <v>5000</v>
      </c>
      <c r="G80" s="16">
        <v>16000</v>
      </c>
      <c r="H80" s="16">
        <v>16000</v>
      </c>
      <c r="I80" s="16">
        <f>F80+G80+H80</f>
        <v>37000</v>
      </c>
      <c r="J80" s="10" t="s">
        <v>159</v>
      </c>
      <c r="K80" s="10" t="s">
        <v>176</v>
      </c>
    </row>
    <row r="81" spans="1:11" ht="29.25" customHeight="1" x14ac:dyDescent="0.3">
      <c r="A81" s="64" t="s">
        <v>177</v>
      </c>
      <c r="B81" s="64"/>
      <c r="C81" s="64"/>
      <c r="D81" s="64"/>
      <c r="E81" s="11"/>
      <c r="F81" s="12">
        <f>F80</f>
        <v>5000</v>
      </c>
      <c r="G81" s="12">
        <f>G80</f>
        <v>16000</v>
      </c>
      <c r="H81" s="12">
        <f>H80</f>
        <v>16000</v>
      </c>
      <c r="I81" s="12">
        <f>I80</f>
        <v>37000</v>
      </c>
      <c r="J81" s="11"/>
      <c r="K81" s="11"/>
    </row>
    <row r="82" spans="1:11" ht="22.5" customHeight="1" x14ac:dyDescent="0.3">
      <c r="A82" s="65" t="s">
        <v>86</v>
      </c>
      <c r="B82" s="65"/>
      <c r="C82" s="65"/>
      <c r="D82" s="65"/>
      <c r="E82" s="65"/>
      <c r="F82" s="65"/>
      <c r="G82" s="65"/>
      <c r="H82" s="65"/>
      <c r="I82" s="65"/>
      <c r="J82" s="65"/>
      <c r="K82" s="65"/>
    </row>
    <row r="83" spans="1:11" ht="27.75" customHeight="1" x14ac:dyDescent="0.3">
      <c r="A83" s="63" t="s">
        <v>0</v>
      </c>
      <c r="B83" s="64"/>
      <c r="C83" s="64"/>
      <c r="D83" s="64"/>
      <c r="E83" s="64"/>
      <c r="F83" s="64"/>
      <c r="G83" s="64"/>
      <c r="H83" s="64"/>
      <c r="I83" s="64"/>
      <c r="J83" s="64"/>
      <c r="K83" s="64"/>
    </row>
    <row r="84" spans="1:11" ht="15.75" customHeight="1" x14ac:dyDescent="0.25">
      <c r="A84" s="70"/>
      <c r="B84" s="70"/>
      <c r="C84" s="70" t="s">
        <v>1</v>
      </c>
      <c r="D84" s="70"/>
      <c r="E84" s="70"/>
      <c r="F84" s="63"/>
      <c r="G84" s="63"/>
      <c r="H84" s="63"/>
      <c r="I84" s="63"/>
      <c r="J84" s="63"/>
      <c r="K84" s="70"/>
    </row>
    <row r="85" spans="1:11" ht="5.25" customHeight="1" x14ac:dyDescent="0.25">
      <c r="A85" s="64"/>
      <c r="B85" s="64"/>
      <c r="C85" s="64"/>
      <c r="D85" s="64"/>
      <c r="E85" s="64"/>
      <c r="F85" s="64"/>
      <c r="G85" s="64"/>
      <c r="H85" s="64"/>
      <c r="I85" s="64"/>
      <c r="J85" s="64"/>
      <c r="K85" s="64"/>
    </row>
    <row r="86" spans="1:11" ht="27" customHeight="1" x14ac:dyDescent="0.3">
      <c r="A86" s="63" t="s">
        <v>2</v>
      </c>
      <c r="B86" s="64"/>
      <c r="C86" s="64"/>
      <c r="D86" s="64"/>
      <c r="E86" s="64"/>
      <c r="F86" s="64"/>
      <c r="G86" s="64"/>
      <c r="H86" s="64"/>
      <c r="I86" s="64"/>
      <c r="J86" s="64"/>
      <c r="K86" s="64"/>
    </row>
    <row r="87" spans="1:11" ht="97.5" customHeight="1" x14ac:dyDescent="0.25">
      <c r="A87" s="32">
        <v>1</v>
      </c>
      <c r="B87" s="10" t="s">
        <v>234</v>
      </c>
      <c r="C87" s="14" t="s">
        <v>87</v>
      </c>
      <c r="D87" s="10" t="s">
        <v>86</v>
      </c>
      <c r="E87" s="31"/>
      <c r="F87" s="16">
        <v>1000</v>
      </c>
      <c r="G87" s="16">
        <v>2000</v>
      </c>
      <c r="H87" s="16">
        <v>2000</v>
      </c>
      <c r="I87" s="16">
        <f>F87+G87+H87</f>
        <v>5000</v>
      </c>
      <c r="J87" s="10" t="s">
        <v>159</v>
      </c>
      <c r="K87" s="10" t="s">
        <v>179</v>
      </c>
    </row>
    <row r="88" spans="1:11" ht="29.25" customHeight="1" x14ac:dyDescent="0.3">
      <c r="A88" s="64" t="s">
        <v>178</v>
      </c>
      <c r="B88" s="64"/>
      <c r="C88" s="64"/>
      <c r="D88" s="64"/>
      <c r="E88" s="11"/>
      <c r="F88" s="12">
        <f>F87</f>
        <v>1000</v>
      </c>
      <c r="G88" s="12">
        <f>G87</f>
        <v>2000</v>
      </c>
      <c r="H88" s="12">
        <f>H87</f>
        <v>2000</v>
      </c>
      <c r="I88" s="12">
        <f>I87</f>
        <v>5000</v>
      </c>
      <c r="J88" s="17"/>
      <c r="K88" s="17"/>
    </row>
    <row r="89" spans="1:11" ht="28.5" customHeight="1" x14ac:dyDescent="0.25">
      <c r="A89" s="71" t="s">
        <v>89</v>
      </c>
      <c r="B89" s="71"/>
      <c r="C89" s="71"/>
      <c r="D89" s="71"/>
      <c r="E89" s="71"/>
      <c r="F89" s="71"/>
      <c r="G89" s="71"/>
      <c r="H89" s="71"/>
      <c r="I89" s="71"/>
      <c r="J89" s="71"/>
      <c r="K89" s="71"/>
    </row>
    <row r="90" spans="1:11" ht="15.75" customHeight="1" x14ac:dyDescent="0.3">
      <c r="A90" s="63" t="s">
        <v>0</v>
      </c>
      <c r="B90" s="64"/>
      <c r="C90" s="64"/>
      <c r="D90" s="64"/>
      <c r="E90" s="64"/>
      <c r="F90" s="64"/>
      <c r="G90" s="64"/>
      <c r="H90" s="64"/>
      <c r="I90" s="64"/>
      <c r="J90" s="64"/>
      <c r="K90" s="64"/>
    </row>
    <row r="91" spans="1:11" ht="117.75" customHeight="1" x14ac:dyDescent="0.3">
      <c r="A91" s="32">
        <v>1</v>
      </c>
      <c r="B91" s="10" t="s">
        <v>219</v>
      </c>
      <c r="C91" s="15" t="s">
        <v>220</v>
      </c>
      <c r="D91" s="10" t="s">
        <v>89</v>
      </c>
      <c r="E91" s="15"/>
      <c r="F91" s="10">
        <v>3536</v>
      </c>
      <c r="G91" s="10">
        <v>0</v>
      </c>
      <c r="H91" s="10">
        <v>0</v>
      </c>
      <c r="I91" s="10">
        <f>F91+G91+H91</f>
        <v>3536</v>
      </c>
      <c r="J91" s="10" t="s">
        <v>159</v>
      </c>
      <c r="K91" s="10" t="s">
        <v>191</v>
      </c>
    </row>
    <row r="92" spans="1:11" ht="21" customHeight="1" x14ac:dyDescent="0.3">
      <c r="A92" s="63" t="s">
        <v>2</v>
      </c>
      <c r="B92" s="64"/>
      <c r="C92" s="64"/>
      <c r="D92" s="64"/>
      <c r="E92" s="64"/>
      <c r="F92" s="64"/>
      <c r="G92" s="64"/>
      <c r="H92" s="64"/>
      <c r="I92" s="64"/>
      <c r="J92" s="64"/>
      <c r="K92" s="64"/>
    </row>
    <row r="93" spans="1:11" ht="147" customHeight="1" x14ac:dyDescent="0.25">
      <c r="A93" s="32">
        <v>1</v>
      </c>
      <c r="B93" s="14" t="s">
        <v>218</v>
      </c>
      <c r="C93" s="14" t="s">
        <v>222</v>
      </c>
      <c r="D93" s="10" t="s">
        <v>89</v>
      </c>
      <c r="E93" s="31"/>
      <c r="F93" s="16">
        <v>13487.2</v>
      </c>
      <c r="G93" s="16">
        <v>0</v>
      </c>
      <c r="H93" s="16">
        <v>0</v>
      </c>
      <c r="I93" s="16">
        <f>F93+G93+H93</f>
        <v>13487.2</v>
      </c>
      <c r="J93" s="10" t="s">
        <v>159</v>
      </c>
      <c r="K93" s="10" t="s">
        <v>191</v>
      </c>
    </row>
    <row r="94" spans="1:11" ht="153" customHeight="1" x14ac:dyDescent="0.25">
      <c r="A94" s="32">
        <v>2</v>
      </c>
      <c r="B94" s="10" t="s">
        <v>235</v>
      </c>
      <c r="C94" s="14" t="s">
        <v>160</v>
      </c>
      <c r="D94" s="10" t="s">
        <v>89</v>
      </c>
      <c r="E94" s="31"/>
      <c r="F94" s="16">
        <f>5513.7-5513.7</f>
        <v>0</v>
      </c>
      <c r="G94" s="16">
        <v>10000</v>
      </c>
      <c r="H94" s="16">
        <v>17792.7</v>
      </c>
      <c r="I94" s="16">
        <f t="shared" ref="I94:I96" si="4">F94+G94+H94</f>
        <v>27792.7</v>
      </c>
      <c r="J94" s="10" t="s">
        <v>159</v>
      </c>
      <c r="K94" s="10" t="s">
        <v>165</v>
      </c>
    </row>
    <row r="95" spans="1:11" ht="144.75" customHeight="1" x14ac:dyDescent="0.25">
      <c r="A95" s="32">
        <v>3</v>
      </c>
      <c r="B95" s="10" t="s">
        <v>236</v>
      </c>
      <c r="C95" s="14" t="s">
        <v>90</v>
      </c>
      <c r="D95" s="10" t="s">
        <v>89</v>
      </c>
      <c r="E95" s="31"/>
      <c r="F95" s="16">
        <v>0</v>
      </c>
      <c r="G95" s="16">
        <v>5000</v>
      </c>
      <c r="H95" s="16">
        <v>2207.3000000000002</v>
      </c>
      <c r="I95" s="16">
        <f t="shared" si="4"/>
        <v>7207.3</v>
      </c>
      <c r="J95" s="10" t="s">
        <v>159</v>
      </c>
      <c r="K95" s="10" t="s">
        <v>165</v>
      </c>
    </row>
    <row r="96" spans="1:11" ht="161.25" customHeight="1" x14ac:dyDescent="0.25">
      <c r="A96" s="32">
        <v>4</v>
      </c>
      <c r="B96" s="10" t="s">
        <v>237</v>
      </c>
      <c r="C96" s="14" t="s">
        <v>91</v>
      </c>
      <c r="D96" s="10" t="s">
        <v>89</v>
      </c>
      <c r="E96" s="31"/>
      <c r="F96" s="16">
        <v>0</v>
      </c>
      <c r="G96" s="16">
        <v>10000</v>
      </c>
      <c r="H96" s="16">
        <v>10000</v>
      </c>
      <c r="I96" s="16">
        <f t="shared" si="4"/>
        <v>20000</v>
      </c>
      <c r="J96" s="10" t="s">
        <v>159</v>
      </c>
      <c r="K96" s="10" t="s">
        <v>165</v>
      </c>
    </row>
    <row r="97" spans="1:11" ht="33" customHeight="1" x14ac:dyDescent="0.3">
      <c r="A97" s="64" t="s">
        <v>180</v>
      </c>
      <c r="B97" s="64"/>
      <c r="C97" s="64"/>
      <c r="D97" s="11"/>
      <c r="E97" s="11"/>
      <c r="F97" s="12">
        <f>SUM(F93:F96)</f>
        <v>13487.2</v>
      </c>
      <c r="G97" s="12">
        <f t="shared" ref="G97:H97" si="5">SUM(G93:G96)</f>
        <v>25000</v>
      </c>
      <c r="H97" s="12">
        <f t="shared" si="5"/>
        <v>30000</v>
      </c>
      <c r="I97" s="12">
        <f>SUM(I93:I96)</f>
        <v>68487.200000000012</v>
      </c>
      <c r="J97" s="11"/>
      <c r="K97" s="11"/>
    </row>
    <row r="98" spans="1:11" ht="31.5" customHeight="1" x14ac:dyDescent="0.3">
      <c r="A98" s="64" t="s">
        <v>181</v>
      </c>
      <c r="B98" s="64"/>
      <c r="C98" s="64"/>
      <c r="D98" s="64"/>
      <c r="E98" s="11"/>
      <c r="F98" s="12">
        <f>F97+F91</f>
        <v>17023.2</v>
      </c>
      <c r="G98" s="12">
        <f t="shared" ref="G98:H98" si="6">G97+G91</f>
        <v>25000</v>
      </c>
      <c r="H98" s="12">
        <f t="shared" si="6"/>
        <v>30000</v>
      </c>
      <c r="I98" s="12">
        <f>I97+I91</f>
        <v>72023.200000000012</v>
      </c>
      <c r="J98" s="11"/>
      <c r="K98" s="11"/>
    </row>
    <row r="99" spans="1:11" ht="19.5" customHeight="1" x14ac:dyDescent="0.25">
      <c r="A99" s="71" t="s">
        <v>92</v>
      </c>
      <c r="B99" s="71"/>
      <c r="C99" s="71"/>
      <c r="D99" s="71"/>
      <c r="E99" s="71"/>
      <c r="F99" s="71"/>
      <c r="G99" s="71"/>
      <c r="H99" s="71"/>
      <c r="I99" s="71"/>
      <c r="J99" s="71"/>
      <c r="K99" s="71"/>
    </row>
    <row r="100" spans="1:11" ht="27" customHeight="1" x14ac:dyDescent="0.3">
      <c r="A100" s="63" t="s">
        <v>0</v>
      </c>
      <c r="B100" s="64"/>
      <c r="C100" s="64"/>
      <c r="D100" s="64"/>
      <c r="E100" s="64"/>
      <c r="F100" s="64"/>
      <c r="G100" s="64"/>
      <c r="H100" s="64"/>
      <c r="I100" s="64"/>
      <c r="J100" s="64"/>
      <c r="K100" s="64"/>
    </row>
    <row r="101" spans="1:11" ht="116.25" customHeight="1" x14ac:dyDescent="0.25">
      <c r="A101" s="32">
        <v>1</v>
      </c>
      <c r="B101" s="10" t="s">
        <v>238</v>
      </c>
      <c r="C101" s="14" t="s">
        <v>93</v>
      </c>
      <c r="D101" s="10" t="s">
        <v>92</v>
      </c>
      <c r="E101" s="10"/>
      <c r="F101" s="16">
        <f>3647.6-3647.6</f>
        <v>0</v>
      </c>
      <c r="G101" s="16">
        <f>6964.6+2023.1</f>
        <v>8987.7000000000007</v>
      </c>
      <c r="H101" s="16">
        <v>0</v>
      </c>
      <c r="I101" s="16">
        <f t="shared" ref="I101:I107" si="7">F101+G101+H101</f>
        <v>8987.7000000000007</v>
      </c>
      <c r="J101" s="10" t="s">
        <v>159</v>
      </c>
      <c r="K101" s="14" t="s">
        <v>191</v>
      </c>
    </row>
    <row r="102" spans="1:11" ht="153.75" customHeight="1" x14ac:dyDescent="0.25">
      <c r="A102" s="32">
        <v>2</v>
      </c>
      <c r="B102" s="10" t="s">
        <v>239</v>
      </c>
      <c r="C102" s="14" t="s">
        <v>94</v>
      </c>
      <c r="D102" s="10" t="s">
        <v>92</v>
      </c>
      <c r="E102" s="10"/>
      <c r="F102" s="16">
        <f>1000-1000</f>
        <v>0</v>
      </c>
      <c r="G102" s="16">
        <v>20000</v>
      </c>
      <c r="H102" s="16">
        <v>20000</v>
      </c>
      <c r="I102" s="16">
        <f t="shared" si="7"/>
        <v>40000</v>
      </c>
      <c r="J102" s="10" t="s">
        <v>159</v>
      </c>
      <c r="K102" s="10" t="s">
        <v>165</v>
      </c>
    </row>
    <row r="103" spans="1:11" ht="153.75" customHeight="1" x14ac:dyDescent="0.25">
      <c r="A103" s="32">
        <v>3</v>
      </c>
      <c r="B103" s="10" t="s">
        <v>313</v>
      </c>
      <c r="C103" s="14" t="s">
        <v>312</v>
      </c>
      <c r="D103" s="10" t="s">
        <v>92</v>
      </c>
      <c r="E103" s="10"/>
      <c r="F103" s="16">
        <v>6685.9</v>
      </c>
      <c r="G103" s="16">
        <v>0</v>
      </c>
      <c r="H103" s="16">
        <v>0</v>
      </c>
      <c r="I103" s="16">
        <f t="shared" si="7"/>
        <v>6685.9</v>
      </c>
      <c r="J103" s="10" t="s">
        <v>159</v>
      </c>
      <c r="K103" s="10" t="s">
        <v>165</v>
      </c>
    </row>
    <row r="104" spans="1:11" ht="153.75" customHeight="1" x14ac:dyDescent="0.25">
      <c r="A104" s="32">
        <v>4</v>
      </c>
      <c r="B104" s="10" t="s">
        <v>283</v>
      </c>
      <c r="C104" s="14" t="s">
        <v>281</v>
      </c>
      <c r="D104" s="10" t="s">
        <v>92</v>
      </c>
      <c r="E104" s="10"/>
      <c r="F104" s="16">
        <v>500</v>
      </c>
      <c r="G104" s="16">
        <v>0</v>
      </c>
      <c r="H104" s="16">
        <v>0</v>
      </c>
      <c r="I104" s="16">
        <f t="shared" si="7"/>
        <v>500</v>
      </c>
      <c r="J104" s="10" t="s">
        <v>159</v>
      </c>
      <c r="K104" s="10" t="s">
        <v>191</v>
      </c>
    </row>
    <row r="105" spans="1:11" ht="153.75" customHeight="1" x14ac:dyDescent="0.25">
      <c r="A105" s="32">
        <v>5</v>
      </c>
      <c r="B105" s="10" t="s">
        <v>284</v>
      </c>
      <c r="C105" s="14" t="s">
        <v>282</v>
      </c>
      <c r="D105" s="10" t="s">
        <v>92</v>
      </c>
      <c r="E105" s="10"/>
      <c r="F105" s="16">
        <v>7195.3</v>
      </c>
      <c r="G105" s="16">
        <v>0</v>
      </c>
      <c r="H105" s="16">
        <v>0</v>
      </c>
      <c r="I105" s="16">
        <f t="shared" si="7"/>
        <v>7195.3</v>
      </c>
      <c r="J105" s="10" t="s">
        <v>159</v>
      </c>
      <c r="K105" s="10" t="s">
        <v>191</v>
      </c>
    </row>
    <row r="106" spans="1:11" ht="153.75" customHeight="1" x14ac:dyDescent="0.25">
      <c r="A106" s="32">
        <v>6</v>
      </c>
      <c r="B106" s="10" t="s">
        <v>261</v>
      </c>
      <c r="C106" s="14" t="s">
        <v>125</v>
      </c>
      <c r="D106" s="10" t="s">
        <v>92</v>
      </c>
      <c r="E106" s="31"/>
      <c r="F106" s="16">
        <f>8806+1100+1750-2850-67</f>
        <v>8739</v>
      </c>
      <c r="G106" s="16">
        <v>5000</v>
      </c>
      <c r="H106" s="16">
        <v>10000</v>
      </c>
      <c r="I106" s="16">
        <f t="shared" si="7"/>
        <v>23739</v>
      </c>
      <c r="J106" s="38" t="s">
        <v>201</v>
      </c>
      <c r="K106" s="10" t="s">
        <v>183</v>
      </c>
    </row>
    <row r="107" spans="1:11" ht="153.75" customHeight="1" x14ac:dyDescent="0.25">
      <c r="A107" s="32">
        <v>7</v>
      </c>
      <c r="B107" s="34" t="s">
        <v>295</v>
      </c>
      <c r="C107" s="19" t="s">
        <v>290</v>
      </c>
      <c r="D107" s="10" t="s">
        <v>92</v>
      </c>
      <c r="E107" s="31"/>
      <c r="F107" s="16">
        <f>88097+2850+750+6900+950</f>
        <v>99547</v>
      </c>
      <c r="G107" s="16">
        <v>0</v>
      </c>
      <c r="H107" s="16">
        <v>0</v>
      </c>
      <c r="I107" s="16">
        <f t="shared" si="7"/>
        <v>99547</v>
      </c>
      <c r="J107" s="38" t="s">
        <v>201</v>
      </c>
      <c r="K107" s="10" t="s">
        <v>183</v>
      </c>
    </row>
    <row r="108" spans="1:11" ht="116.25" customHeight="1" x14ac:dyDescent="0.25">
      <c r="A108" s="32">
        <v>8</v>
      </c>
      <c r="B108" s="72" t="s">
        <v>240</v>
      </c>
      <c r="C108" s="51" t="s">
        <v>320</v>
      </c>
      <c r="D108" s="47" t="s">
        <v>92</v>
      </c>
      <c r="E108" s="52"/>
      <c r="F108" s="49">
        <f>F109+F110</f>
        <v>161598.29999999999</v>
      </c>
      <c r="G108" s="49">
        <v>10103.6</v>
      </c>
      <c r="H108" s="49">
        <v>54500</v>
      </c>
      <c r="I108" s="49">
        <f>F108+G108+H108</f>
        <v>226201.9</v>
      </c>
      <c r="J108" s="50" t="s">
        <v>192</v>
      </c>
      <c r="K108" s="47" t="s">
        <v>193</v>
      </c>
    </row>
    <row r="109" spans="1:11" ht="96.75" customHeight="1" x14ac:dyDescent="0.25">
      <c r="A109" s="32">
        <v>9</v>
      </c>
      <c r="B109" s="73"/>
      <c r="C109" s="19" t="s">
        <v>321</v>
      </c>
      <c r="D109" s="10" t="s">
        <v>92</v>
      </c>
      <c r="E109" s="31"/>
      <c r="F109" s="16">
        <f>155498.3+4500</f>
        <v>159998.29999999999</v>
      </c>
      <c r="G109" s="16">
        <v>0</v>
      </c>
      <c r="H109" s="16">
        <v>0</v>
      </c>
      <c r="I109" s="16">
        <f>F109+G109+H109</f>
        <v>159998.29999999999</v>
      </c>
      <c r="J109" s="38" t="s">
        <v>192</v>
      </c>
      <c r="K109" s="10" t="s">
        <v>191</v>
      </c>
    </row>
    <row r="110" spans="1:11" ht="123" customHeight="1" x14ac:dyDescent="0.25">
      <c r="A110" s="32">
        <v>10</v>
      </c>
      <c r="B110" s="74"/>
      <c r="C110" s="14" t="s">
        <v>322</v>
      </c>
      <c r="D110" s="10" t="s">
        <v>92</v>
      </c>
      <c r="E110" s="10"/>
      <c r="F110" s="16">
        <v>1600</v>
      </c>
      <c r="G110" s="16">
        <v>0</v>
      </c>
      <c r="H110" s="16">
        <v>0</v>
      </c>
      <c r="I110" s="16">
        <f>F110+G110+H110</f>
        <v>1600</v>
      </c>
      <c r="J110" s="38" t="s">
        <v>192</v>
      </c>
      <c r="K110" s="10" t="s">
        <v>191</v>
      </c>
    </row>
    <row r="111" spans="1:11" ht="33" customHeight="1" x14ac:dyDescent="0.3">
      <c r="A111" s="64" t="s">
        <v>182</v>
      </c>
      <c r="B111" s="64"/>
      <c r="C111" s="64"/>
      <c r="D111" s="31"/>
      <c r="E111" s="31"/>
      <c r="F111" s="16">
        <f>F101+F102+F104+F105+F103+F106+F107+F108</f>
        <v>284265.5</v>
      </c>
      <c r="G111" s="16">
        <f>G101+G102+G104+G105+G103+G106+G107+G108</f>
        <v>44091.299999999996</v>
      </c>
      <c r="H111" s="16">
        <f>H101+H102+H104+H105+H103+H106+H107+H108</f>
        <v>84500</v>
      </c>
      <c r="I111" s="16">
        <f>I101+I102+I104+I105+I103+I106+I107+I108</f>
        <v>412856.8</v>
      </c>
      <c r="J111" s="31"/>
      <c r="K111" s="31"/>
    </row>
    <row r="112" spans="1:11" ht="30" customHeight="1" x14ac:dyDescent="0.3">
      <c r="A112" s="63" t="s">
        <v>2</v>
      </c>
      <c r="B112" s="64"/>
      <c r="C112" s="64"/>
      <c r="D112" s="64"/>
      <c r="E112" s="64"/>
      <c r="F112" s="64"/>
      <c r="G112" s="64"/>
      <c r="H112" s="64"/>
      <c r="I112" s="64"/>
      <c r="J112" s="64"/>
      <c r="K112" s="64"/>
    </row>
    <row r="113" spans="1:11" ht="94.5" customHeight="1" x14ac:dyDescent="0.25">
      <c r="A113" s="32">
        <v>1</v>
      </c>
      <c r="B113" s="10" t="s">
        <v>95</v>
      </c>
      <c r="C113" s="39" t="s">
        <v>96</v>
      </c>
      <c r="D113" s="10" t="s">
        <v>92</v>
      </c>
      <c r="E113" s="31"/>
      <c r="F113" s="16">
        <f>3200+1660</f>
        <v>4860</v>
      </c>
      <c r="G113" s="16">
        <v>0</v>
      </c>
      <c r="H113" s="16">
        <v>0</v>
      </c>
      <c r="I113" s="16">
        <f>F113+G113+H113</f>
        <v>4860</v>
      </c>
      <c r="J113" s="10" t="s">
        <v>159</v>
      </c>
      <c r="K113" s="10" t="s">
        <v>183</v>
      </c>
    </row>
    <row r="114" spans="1:11" ht="96.75" customHeight="1" x14ac:dyDescent="0.25">
      <c r="A114" s="32">
        <v>2</v>
      </c>
      <c r="B114" s="10" t="s">
        <v>97</v>
      </c>
      <c r="C114" s="39" t="s">
        <v>98</v>
      </c>
      <c r="D114" s="10" t="s">
        <v>92</v>
      </c>
      <c r="E114" s="31"/>
      <c r="F114" s="16">
        <f>12000-1660-10340</f>
        <v>0</v>
      </c>
      <c r="G114" s="16">
        <v>0</v>
      </c>
      <c r="H114" s="16">
        <v>0</v>
      </c>
      <c r="I114" s="16">
        <f t="shared" ref="I114:I141" si="8">F114+G114+H114</f>
        <v>0</v>
      </c>
      <c r="J114" s="10" t="s">
        <v>159</v>
      </c>
      <c r="K114" s="10" t="s">
        <v>183</v>
      </c>
    </row>
    <row r="115" spans="1:11" ht="78" customHeight="1" x14ac:dyDescent="0.25">
      <c r="A115" s="32">
        <v>3</v>
      </c>
      <c r="B115" s="10" t="s">
        <v>99</v>
      </c>
      <c r="C115" s="39" t="s">
        <v>100</v>
      </c>
      <c r="D115" s="10" t="s">
        <v>92</v>
      </c>
      <c r="E115" s="31"/>
      <c r="F115" s="16">
        <v>1100</v>
      </c>
      <c r="G115" s="16">
        <v>0</v>
      </c>
      <c r="H115" s="16">
        <v>0</v>
      </c>
      <c r="I115" s="16">
        <f t="shared" si="8"/>
        <v>1100</v>
      </c>
      <c r="J115" s="10" t="s">
        <v>159</v>
      </c>
      <c r="K115" s="10" t="s">
        <v>183</v>
      </c>
    </row>
    <row r="116" spans="1:11" ht="99.75" customHeight="1" x14ac:dyDescent="0.25">
      <c r="A116" s="32">
        <v>4</v>
      </c>
      <c r="B116" s="10" t="s">
        <v>241</v>
      </c>
      <c r="C116" s="39" t="s">
        <v>101</v>
      </c>
      <c r="D116" s="10" t="s">
        <v>92</v>
      </c>
      <c r="E116" s="31"/>
      <c r="F116" s="16">
        <v>3500</v>
      </c>
      <c r="G116" s="16">
        <v>0</v>
      </c>
      <c r="H116" s="16">
        <v>0</v>
      </c>
      <c r="I116" s="16">
        <f t="shared" si="8"/>
        <v>3500</v>
      </c>
      <c r="J116" s="10" t="s">
        <v>159</v>
      </c>
      <c r="K116" s="10" t="s">
        <v>183</v>
      </c>
    </row>
    <row r="117" spans="1:11" ht="140.25" customHeight="1" x14ac:dyDescent="0.25">
      <c r="A117" s="32">
        <v>5</v>
      </c>
      <c r="B117" s="10" t="s">
        <v>242</v>
      </c>
      <c r="C117" s="39" t="s">
        <v>102</v>
      </c>
      <c r="D117" s="10" t="s">
        <v>92</v>
      </c>
      <c r="E117" s="31"/>
      <c r="F117" s="16">
        <v>6290</v>
      </c>
      <c r="G117" s="16">
        <v>0</v>
      </c>
      <c r="H117" s="16">
        <v>0</v>
      </c>
      <c r="I117" s="16">
        <f t="shared" si="8"/>
        <v>6290</v>
      </c>
      <c r="J117" s="10" t="s">
        <v>159</v>
      </c>
      <c r="K117" s="10" t="s">
        <v>183</v>
      </c>
    </row>
    <row r="118" spans="1:11" ht="153" customHeight="1" x14ac:dyDescent="0.25">
      <c r="A118" s="32">
        <v>6</v>
      </c>
      <c r="B118" s="10" t="s">
        <v>243</v>
      </c>
      <c r="C118" s="14" t="s">
        <v>103</v>
      </c>
      <c r="D118" s="10" t="s">
        <v>92</v>
      </c>
      <c r="E118" s="31"/>
      <c r="F118" s="16">
        <f>800+1600</f>
        <v>2400</v>
      </c>
      <c r="G118" s="16">
        <v>0</v>
      </c>
      <c r="H118" s="16">
        <v>0</v>
      </c>
      <c r="I118" s="16">
        <f t="shared" si="8"/>
        <v>2400</v>
      </c>
      <c r="J118" s="10" t="s">
        <v>159</v>
      </c>
      <c r="K118" s="10" t="s">
        <v>183</v>
      </c>
    </row>
    <row r="119" spans="1:11" ht="168.75" customHeight="1" x14ac:dyDescent="0.25">
      <c r="A119" s="32">
        <v>7</v>
      </c>
      <c r="B119" s="10" t="s">
        <v>244</v>
      </c>
      <c r="C119" s="14" t="s">
        <v>104</v>
      </c>
      <c r="D119" s="10" t="s">
        <v>92</v>
      </c>
      <c r="E119" s="31"/>
      <c r="F119" s="16">
        <f>3000-3000</f>
        <v>0</v>
      </c>
      <c r="G119" s="16">
        <f>20000+3000</f>
        <v>23000</v>
      </c>
      <c r="H119" s="16">
        <v>18800</v>
      </c>
      <c r="I119" s="16">
        <f t="shared" si="8"/>
        <v>41800</v>
      </c>
      <c r="J119" s="10" t="s">
        <v>159</v>
      </c>
      <c r="K119" s="10" t="s">
        <v>165</v>
      </c>
    </row>
    <row r="120" spans="1:11" ht="183" customHeight="1" x14ac:dyDescent="0.25">
      <c r="A120" s="32">
        <v>8</v>
      </c>
      <c r="B120" s="10" t="s">
        <v>245</v>
      </c>
      <c r="C120" s="14" t="s">
        <v>105</v>
      </c>
      <c r="D120" s="10" t="s">
        <v>92</v>
      </c>
      <c r="E120" s="31"/>
      <c r="F120" s="16">
        <f>1000-1000</f>
        <v>0</v>
      </c>
      <c r="G120" s="16">
        <f>25000+1000</f>
        <v>26000</v>
      </c>
      <c r="H120" s="16">
        <v>15000</v>
      </c>
      <c r="I120" s="16">
        <f t="shared" si="8"/>
        <v>41000</v>
      </c>
      <c r="J120" s="10" t="s">
        <v>159</v>
      </c>
      <c r="K120" s="10" t="s">
        <v>165</v>
      </c>
    </row>
    <row r="121" spans="1:11" ht="132.75" customHeight="1" x14ac:dyDescent="0.25">
      <c r="A121" s="32">
        <v>9</v>
      </c>
      <c r="B121" s="10" t="s">
        <v>246</v>
      </c>
      <c r="C121" s="14" t="s">
        <v>106</v>
      </c>
      <c r="D121" s="10" t="s">
        <v>92</v>
      </c>
      <c r="E121" s="31"/>
      <c r="F121" s="16">
        <v>270</v>
      </c>
      <c r="G121" s="16">
        <v>0</v>
      </c>
      <c r="H121" s="16">
        <v>0</v>
      </c>
      <c r="I121" s="16">
        <f t="shared" si="8"/>
        <v>270</v>
      </c>
      <c r="J121" s="10" t="s">
        <v>159</v>
      </c>
      <c r="K121" s="10" t="s">
        <v>183</v>
      </c>
    </row>
    <row r="122" spans="1:11" ht="93" customHeight="1" x14ac:dyDescent="0.25">
      <c r="A122" s="32">
        <v>10</v>
      </c>
      <c r="B122" s="10" t="s">
        <v>247</v>
      </c>
      <c r="C122" s="14" t="s">
        <v>107</v>
      </c>
      <c r="D122" s="10" t="s">
        <v>92</v>
      </c>
      <c r="E122" s="31"/>
      <c r="F122" s="16">
        <v>0</v>
      </c>
      <c r="G122" s="16">
        <v>250</v>
      </c>
      <c r="H122" s="16">
        <v>0</v>
      </c>
      <c r="I122" s="16">
        <f t="shared" si="8"/>
        <v>250</v>
      </c>
      <c r="J122" s="10" t="s">
        <v>159</v>
      </c>
      <c r="K122" s="10" t="s">
        <v>183</v>
      </c>
    </row>
    <row r="123" spans="1:11" ht="141" customHeight="1" x14ac:dyDescent="0.25">
      <c r="A123" s="32">
        <v>11</v>
      </c>
      <c r="B123" s="10" t="s">
        <v>248</v>
      </c>
      <c r="C123" s="14" t="s">
        <v>108</v>
      </c>
      <c r="D123" s="10" t="s">
        <v>92</v>
      </c>
      <c r="E123" s="31"/>
      <c r="F123" s="16">
        <v>0</v>
      </c>
      <c r="G123" s="16">
        <v>2000</v>
      </c>
      <c r="H123" s="16">
        <v>0</v>
      </c>
      <c r="I123" s="16">
        <f t="shared" si="8"/>
        <v>2000</v>
      </c>
      <c r="J123" s="10" t="s">
        <v>159</v>
      </c>
      <c r="K123" s="10" t="s">
        <v>183</v>
      </c>
    </row>
    <row r="124" spans="1:11" ht="119.25" customHeight="1" x14ac:dyDescent="0.25">
      <c r="A124" s="32">
        <v>12</v>
      </c>
      <c r="B124" s="10" t="s">
        <v>249</v>
      </c>
      <c r="C124" s="39" t="s">
        <v>109</v>
      </c>
      <c r="D124" s="10" t="s">
        <v>92</v>
      </c>
      <c r="E124" s="31"/>
      <c r="F124" s="16">
        <v>250</v>
      </c>
      <c r="G124" s="16">
        <v>0</v>
      </c>
      <c r="H124" s="16">
        <v>0</v>
      </c>
      <c r="I124" s="16">
        <f t="shared" si="8"/>
        <v>250</v>
      </c>
      <c r="J124" s="10" t="s">
        <v>159</v>
      </c>
      <c r="K124" s="10" t="s">
        <v>183</v>
      </c>
    </row>
    <row r="125" spans="1:11" ht="74.25" customHeight="1" x14ac:dyDescent="0.25">
      <c r="A125" s="32">
        <v>13</v>
      </c>
      <c r="B125" s="10" t="s">
        <v>250</v>
      </c>
      <c r="C125" s="39" t="s">
        <v>110</v>
      </c>
      <c r="D125" s="10" t="s">
        <v>92</v>
      </c>
      <c r="E125" s="31"/>
      <c r="F125" s="16">
        <v>0</v>
      </c>
      <c r="G125" s="16">
        <v>100</v>
      </c>
      <c r="H125" s="16">
        <v>0</v>
      </c>
      <c r="I125" s="16">
        <f t="shared" si="8"/>
        <v>100</v>
      </c>
      <c r="J125" s="10" t="s">
        <v>159</v>
      </c>
      <c r="K125" s="10" t="s">
        <v>183</v>
      </c>
    </row>
    <row r="126" spans="1:11" ht="94.5" customHeight="1" x14ac:dyDescent="0.25">
      <c r="A126" s="32">
        <v>14</v>
      </c>
      <c r="B126" s="10" t="s">
        <v>251</v>
      </c>
      <c r="C126" s="39" t="s">
        <v>111</v>
      </c>
      <c r="D126" s="10" t="s">
        <v>92</v>
      </c>
      <c r="E126" s="31"/>
      <c r="F126" s="16">
        <v>0</v>
      </c>
      <c r="G126" s="16">
        <v>120.7</v>
      </c>
      <c r="H126" s="16">
        <v>0</v>
      </c>
      <c r="I126" s="16">
        <f t="shared" si="8"/>
        <v>120.7</v>
      </c>
      <c r="J126" s="10" t="s">
        <v>159</v>
      </c>
      <c r="K126" s="10" t="s">
        <v>183</v>
      </c>
    </row>
    <row r="127" spans="1:11" ht="107.25" customHeight="1" x14ac:dyDescent="0.25">
      <c r="A127" s="32">
        <v>15</v>
      </c>
      <c r="B127" s="10" t="s">
        <v>252</v>
      </c>
      <c r="C127" s="39" t="s">
        <v>112</v>
      </c>
      <c r="D127" s="10" t="s">
        <v>92</v>
      </c>
      <c r="E127" s="31"/>
      <c r="F127" s="16">
        <v>0</v>
      </c>
      <c r="G127" s="16">
        <v>2200</v>
      </c>
      <c r="H127" s="16">
        <v>0</v>
      </c>
      <c r="I127" s="16">
        <f t="shared" si="8"/>
        <v>2200</v>
      </c>
      <c r="J127" s="10" t="s">
        <v>159</v>
      </c>
      <c r="K127" s="10" t="s">
        <v>183</v>
      </c>
    </row>
    <row r="128" spans="1:11" ht="60.75" customHeight="1" x14ac:dyDescent="0.25">
      <c r="A128" s="32">
        <v>16</v>
      </c>
      <c r="B128" s="10" t="s">
        <v>253</v>
      </c>
      <c r="C128" s="14" t="s">
        <v>113</v>
      </c>
      <c r="D128" s="10"/>
      <c r="E128" s="31"/>
      <c r="F128" s="16">
        <v>0</v>
      </c>
      <c r="G128" s="16">
        <v>3338</v>
      </c>
      <c r="H128" s="16">
        <v>0</v>
      </c>
      <c r="I128" s="16">
        <f t="shared" si="8"/>
        <v>3338</v>
      </c>
      <c r="J128" s="10" t="s">
        <v>159</v>
      </c>
      <c r="K128" s="10" t="s">
        <v>183</v>
      </c>
    </row>
    <row r="129" spans="1:14" s="6" customFormat="1" ht="113.25" customHeight="1" x14ac:dyDescent="0.25">
      <c r="A129" s="32">
        <v>17</v>
      </c>
      <c r="B129" s="10" t="s">
        <v>294</v>
      </c>
      <c r="C129" s="39" t="s">
        <v>114</v>
      </c>
      <c r="D129" s="10" t="s">
        <v>92</v>
      </c>
      <c r="E129" s="31"/>
      <c r="F129" s="16">
        <v>4500</v>
      </c>
      <c r="G129" s="16">
        <v>0</v>
      </c>
      <c r="H129" s="16">
        <v>0</v>
      </c>
      <c r="I129" s="16">
        <f t="shared" si="8"/>
        <v>4500</v>
      </c>
      <c r="J129" s="10" t="s">
        <v>159</v>
      </c>
      <c r="K129" s="10" t="s">
        <v>183</v>
      </c>
      <c r="L129" s="8"/>
      <c r="M129" s="8"/>
      <c r="N129" s="8"/>
    </row>
    <row r="130" spans="1:14" ht="114.75" customHeight="1" x14ac:dyDescent="0.25">
      <c r="A130" s="32">
        <f>1+A129</f>
        <v>18</v>
      </c>
      <c r="B130" s="10" t="s">
        <v>115</v>
      </c>
      <c r="C130" s="39" t="s">
        <v>116</v>
      </c>
      <c r="D130" s="10" t="s">
        <v>92</v>
      </c>
      <c r="E130" s="31"/>
      <c r="F130" s="16">
        <v>8000</v>
      </c>
      <c r="G130" s="16">
        <v>0</v>
      </c>
      <c r="H130" s="16">
        <v>0</v>
      </c>
      <c r="I130" s="16">
        <f t="shared" si="8"/>
        <v>8000</v>
      </c>
      <c r="J130" s="10" t="s">
        <v>159</v>
      </c>
      <c r="K130" s="10" t="s">
        <v>183</v>
      </c>
    </row>
    <row r="131" spans="1:14" ht="78.75" customHeight="1" x14ac:dyDescent="0.25">
      <c r="A131" s="32">
        <f t="shared" ref="A131:A147" si="9">1+A130</f>
        <v>19</v>
      </c>
      <c r="B131" s="10" t="s">
        <v>254</v>
      </c>
      <c r="C131" s="14" t="s">
        <v>117</v>
      </c>
      <c r="D131" s="10" t="s">
        <v>92</v>
      </c>
      <c r="E131" s="31"/>
      <c r="F131" s="16">
        <f>1260-1260</f>
        <v>0</v>
      </c>
      <c r="G131" s="16">
        <v>0</v>
      </c>
      <c r="H131" s="16">
        <v>0</v>
      </c>
      <c r="I131" s="16">
        <f t="shared" si="8"/>
        <v>0</v>
      </c>
      <c r="J131" s="10" t="s">
        <v>159</v>
      </c>
      <c r="K131" s="10" t="s">
        <v>183</v>
      </c>
    </row>
    <row r="132" spans="1:14" ht="83.25" customHeight="1" x14ac:dyDescent="0.25">
      <c r="A132" s="32">
        <f t="shared" si="9"/>
        <v>20</v>
      </c>
      <c r="B132" s="10" t="s">
        <v>255</v>
      </c>
      <c r="C132" s="39" t="s">
        <v>118</v>
      </c>
      <c r="D132" s="10" t="s">
        <v>92</v>
      </c>
      <c r="E132" s="31"/>
      <c r="F132" s="16">
        <v>1528.5</v>
      </c>
      <c r="G132" s="16">
        <v>0</v>
      </c>
      <c r="H132" s="16">
        <v>0</v>
      </c>
      <c r="I132" s="16">
        <f t="shared" si="8"/>
        <v>1528.5</v>
      </c>
      <c r="J132" s="10" t="s">
        <v>159</v>
      </c>
      <c r="K132" s="10" t="s">
        <v>183</v>
      </c>
    </row>
    <row r="133" spans="1:14" ht="155.25" customHeight="1" x14ac:dyDescent="0.25">
      <c r="A133" s="32">
        <f t="shared" si="9"/>
        <v>21</v>
      </c>
      <c r="B133" s="10" t="s">
        <v>293</v>
      </c>
      <c r="C133" s="39" t="s">
        <v>119</v>
      </c>
      <c r="D133" s="10" t="s">
        <v>92</v>
      </c>
      <c r="E133" s="31"/>
      <c r="F133" s="16">
        <f>7773.9+4984.1+12808.88</f>
        <v>25566.879999999997</v>
      </c>
      <c r="G133" s="16">
        <v>0</v>
      </c>
      <c r="H133" s="16">
        <v>0</v>
      </c>
      <c r="I133" s="16">
        <f t="shared" si="8"/>
        <v>25566.879999999997</v>
      </c>
      <c r="J133" s="10" t="s">
        <v>159</v>
      </c>
      <c r="K133" s="10" t="s">
        <v>183</v>
      </c>
    </row>
    <row r="134" spans="1:14" ht="98.25" customHeight="1" x14ac:dyDescent="0.25">
      <c r="A134" s="32">
        <f t="shared" si="9"/>
        <v>22</v>
      </c>
      <c r="B134" s="10" t="s">
        <v>256</v>
      </c>
      <c r="C134" s="39" t="s">
        <v>120</v>
      </c>
      <c r="D134" s="10" t="s">
        <v>92</v>
      </c>
      <c r="E134" s="31"/>
      <c r="F134" s="16">
        <f>480-480</f>
        <v>0</v>
      </c>
      <c r="G134" s="16">
        <v>0</v>
      </c>
      <c r="H134" s="16">
        <v>0</v>
      </c>
      <c r="I134" s="16">
        <f t="shared" si="8"/>
        <v>0</v>
      </c>
      <c r="J134" s="10" t="s">
        <v>159</v>
      </c>
      <c r="K134" s="10" t="s">
        <v>183</v>
      </c>
    </row>
    <row r="135" spans="1:14" ht="102" customHeight="1" x14ac:dyDescent="0.25">
      <c r="A135" s="32">
        <f t="shared" si="9"/>
        <v>23</v>
      </c>
      <c r="B135" s="10" t="s">
        <v>257</v>
      </c>
      <c r="C135" s="39" t="s">
        <v>121</v>
      </c>
      <c r="D135" s="10" t="s">
        <v>92</v>
      </c>
      <c r="E135" s="31"/>
      <c r="F135" s="16">
        <f>1800-1800</f>
        <v>0</v>
      </c>
      <c r="G135" s="16">
        <v>1800</v>
      </c>
      <c r="H135" s="16">
        <v>0</v>
      </c>
      <c r="I135" s="16">
        <f t="shared" si="8"/>
        <v>1800</v>
      </c>
      <c r="J135" s="10" t="s">
        <v>159</v>
      </c>
      <c r="K135" s="10" t="s">
        <v>183</v>
      </c>
    </row>
    <row r="136" spans="1:14" ht="92.25" customHeight="1" x14ac:dyDescent="0.25">
      <c r="A136" s="32">
        <f t="shared" si="9"/>
        <v>24</v>
      </c>
      <c r="B136" s="10" t="s">
        <v>258</v>
      </c>
      <c r="C136" s="39" t="s">
        <v>122</v>
      </c>
      <c r="D136" s="10" t="s">
        <v>92</v>
      </c>
      <c r="E136" s="31"/>
      <c r="F136" s="16">
        <f>800-800</f>
        <v>0</v>
      </c>
      <c r="G136" s="16">
        <v>20000</v>
      </c>
      <c r="H136" s="16">
        <v>26700</v>
      </c>
      <c r="I136" s="16">
        <f t="shared" si="8"/>
        <v>46700</v>
      </c>
      <c r="J136" s="10" t="s">
        <v>159</v>
      </c>
      <c r="K136" s="10" t="s">
        <v>183</v>
      </c>
    </row>
    <row r="137" spans="1:14" ht="79.5" customHeight="1" x14ac:dyDescent="0.25">
      <c r="A137" s="32">
        <f t="shared" si="9"/>
        <v>25</v>
      </c>
      <c r="B137" s="10" t="s">
        <v>259</v>
      </c>
      <c r="C137" s="39" t="s">
        <v>123</v>
      </c>
      <c r="D137" s="10" t="s">
        <v>92</v>
      </c>
      <c r="E137" s="31"/>
      <c r="F137" s="16">
        <v>0</v>
      </c>
      <c r="G137" s="16">
        <v>200</v>
      </c>
      <c r="H137" s="16">
        <v>0</v>
      </c>
      <c r="I137" s="16">
        <f t="shared" si="8"/>
        <v>200</v>
      </c>
      <c r="J137" s="10" t="s">
        <v>159</v>
      </c>
      <c r="K137" s="10" t="s">
        <v>183</v>
      </c>
    </row>
    <row r="138" spans="1:14" ht="88.5" customHeight="1" x14ac:dyDescent="0.25">
      <c r="A138" s="32">
        <f t="shared" si="9"/>
        <v>26</v>
      </c>
      <c r="B138" s="10" t="s">
        <v>260</v>
      </c>
      <c r="C138" s="14" t="s">
        <v>124</v>
      </c>
      <c r="D138" s="10" t="s">
        <v>92</v>
      </c>
      <c r="E138" s="31"/>
      <c r="F138" s="16">
        <v>0</v>
      </c>
      <c r="G138" s="16">
        <v>1900</v>
      </c>
      <c r="H138" s="16">
        <v>0</v>
      </c>
      <c r="I138" s="16">
        <f t="shared" si="8"/>
        <v>1900</v>
      </c>
      <c r="J138" s="10" t="s">
        <v>159</v>
      </c>
      <c r="K138" s="10" t="s">
        <v>183</v>
      </c>
    </row>
    <row r="139" spans="1:14" ht="94.5" customHeight="1" x14ac:dyDescent="0.25">
      <c r="A139" s="32">
        <f t="shared" si="9"/>
        <v>27</v>
      </c>
      <c r="B139" s="10" t="s">
        <v>311</v>
      </c>
      <c r="C139" s="14" t="s">
        <v>310</v>
      </c>
      <c r="D139" s="10" t="s">
        <v>92</v>
      </c>
      <c r="E139" s="31"/>
      <c r="F139" s="16">
        <v>3000</v>
      </c>
      <c r="G139" s="16">
        <v>0</v>
      </c>
      <c r="H139" s="16">
        <v>0</v>
      </c>
      <c r="I139" s="16">
        <f t="shared" si="8"/>
        <v>3000</v>
      </c>
      <c r="J139" s="10" t="s">
        <v>159</v>
      </c>
      <c r="K139" s="10" t="s">
        <v>187</v>
      </c>
    </row>
    <row r="140" spans="1:14" ht="185.25" customHeight="1" x14ac:dyDescent="0.25">
      <c r="A140" s="32">
        <f t="shared" si="9"/>
        <v>28</v>
      </c>
      <c r="B140" s="10" t="s">
        <v>206</v>
      </c>
      <c r="C140" s="14" t="s">
        <v>207</v>
      </c>
      <c r="D140" s="10" t="s">
        <v>92</v>
      </c>
      <c r="E140" s="31"/>
      <c r="F140" s="16">
        <f>500+3000</f>
        <v>3500</v>
      </c>
      <c r="G140" s="16">
        <v>0</v>
      </c>
      <c r="H140" s="16">
        <v>0</v>
      </c>
      <c r="I140" s="16">
        <f t="shared" si="8"/>
        <v>3500</v>
      </c>
      <c r="J140" s="10" t="s">
        <v>159</v>
      </c>
      <c r="K140" s="10" t="s">
        <v>183</v>
      </c>
    </row>
    <row r="141" spans="1:14" ht="88.5" customHeight="1" x14ac:dyDescent="0.25">
      <c r="A141" s="32">
        <f t="shared" si="9"/>
        <v>29</v>
      </c>
      <c r="B141" s="10" t="s">
        <v>208</v>
      </c>
      <c r="C141" s="14" t="s">
        <v>209</v>
      </c>
      <c r="D141" s="10" t="s">
        <v>92</v>
      </c>
      <c r="E141" s="31"/>
      <c r="F141" s="16">
        <f>1288+10340</f>
        <v>11628</v>
      </c>
      <c r="G141" s="16">
        <v>0</v>
      </c>
      <c r="H141" s="16">
        <v>0</v>
      </c>
      <c r="I141" s="16">
        <f t="shared" si="8"/>
        <v>11628</v>
      </c>
      <c r="J141" s="10" t="s">
        <v>159</v>
      </c>
      <c r="K141" s="10" t="s">
        <v>191</v>
      </c>
    </row>
    <row r="142" spans="1:14" ht="117" customHeight="1" x14ac:dyDescent="0.25">
      <c r="A142" s="32">
        <f t="shared" si="9"/>
        <v>30</v>
      </c>
      <c r="B142" s="18" t="s">
        <v>298</v>
      </c>
      <c r="C142" s="19" t="s">
        <v>297</v>
      </c>
      <c r="D142" s="10" t="s">
        <v>92</v>
      </c>
      <c r="E142" s="31"/>
      <c r="F142" s="16">
        <f>1168.336+2726.117</f>
        <v>3894.4530000000004</v>
      </c>
      <c r="G142" s="16">
        <v>0</v>
      </c>
      <c r="H142" s="16">
        <v>0</v>
      </c>
      <c r="I142" s="16">
        <f t="shared" ref="I142" si="10">F142+G142+H142</f>
        <v>3894.4530000000004</v>
      </c>
      <c r="J142" s="40" t="s">
        <v>299</v>
      </c>
      <c r="K142" s="10" t="s">
        <v>183</v>
      </c>
    </row>
    <row r="143" spans="1:14" ht="117.75" customHeight="1" x14ac:dyDescent="0.25">
      <c r="A143" s="32">
        <f t="shared" si="9"/>
        <v>31</v>
      </c>
      <c r="B143" s="10" t="s">
        <v>301</v>
      </c>
      <c r="C143" s="14" t="s">
        <v>300</v>
      </c>
      <c r="D143" s="10" t="s">
        <v>92</v>
      </c>
      <c r="E143" s="31"/>
      <c r="F143" s="16">
        <f>666+1554</f>
        <v>2220</v>
      </c>
      <c r="G143" s="16">
        <v>0</v>
      </c>
      <c r="H143" s="16">
        <v>0</v>
      </c>
      <c r="I143" s="16">
        <f t="shared" ref="I143" si="11">F143+G143+H143</f>
        <v>2220</v>
      </c>
      <c r="J143" s="40" t="s">
        <v>299</v>
      </c>
      <c r="K143" s="10" t="s">
        <v>183</v>
      </c>
    </row>
    <row r="144" spans="1:14" ht="108" customHeight="1" x14ac:dyDescent="0.25">
      <c r="A144" s="32" t="e">
        <f>1+#REF!</f>
        <v>#REF!</v>
      </c>
      <c r="B144" s="34" t="s">
        <v>303</v>
      </c>
      <c r="C144" s="19" t="s">
        <v>302</v>
      </c>
      <c r="D144" s="10" t="s">
        <v>92</v>
      </c>
      <c r="E144" s="31"/>
      <c r="F144" s="16">
        <f>2880+3600</f>
        <v>6480</v>
      </c>
      <c r="G144" s="16">
        <v>0</v>
      </c>
      <c r="H144" s="16">
        <v>0</v>
      </c>
      <c r="I144" s="16">
        <f t="shared" ref="I144:I145" si="12">F144+G144+H144</f>
        <v>6480</v>
      </c>
      <c r="J144" s="38" t="s">
        <v>299</v>
      </c>
      <c r="K144" s="10" t="s">
        <v>183</v>
      </c>
    </row>
    <row r="145" spans="1:11" ht="108" customHeight="1" x14ac:dyDescent="0.25">
      <c r="A145" s="32" t="e">
        <f t="shared" si="9"/>
        <v>#REF!</v>
      </c>
      <c r="B145" s="34" t="s">
        <v>305</v>
      </c>
      <c r="C145" s="19" t="s">
        <v>304</v>
      </c>
      <c r="D145" s="10" t="s">
        <v>92</v>
      </c>
      <c r="E145" s="31"/>
      <c r="F145" s="16">
        <f>186+450</f>
        <v>636</v>
      </c>
      <c r="G145" s="16">
        <v>0</v>
      </c>
      <c r="H145" s="16">
        <v>0</v>
      </c>
      <c r="I145" s="16">
        <f t="shared" si="12"/>
        <v>636</v>
      </c>
      <c r="J145" s="38" t="s">
        <v>299</v>
      </c>
      <c r="K145" s="10" t="s">
        <v>183</v>
      </c>
    </row>
    <row r="146" spans="1:11" ht="125.25" customHeight="1" x14ac:dyDescent="0.25">
      <c r="A146" s="32" t="e">
        <f t="shared" si="9"/>
        <v>#REF!</v>
      </c>
      <c r="B146" s="34" t="s">
        <v>307</v>
      </c>
      <c r="C146" s="19" t="s">
        <v>306</v>
      </c>
      <c r="D146" s="10" t="s">
        <v>92</v>
      </c>
      <c r="E146" s="31"/>
      <c r="F146" s="16">
        <f>1360+1800</f>
        <v>3160</v>
      </c>
      <c r="G146" s="16">
        <v>0</v>
      </c>
      <c r="H146" s="16">
        <v>0</v>
      </c>
      <c r="I146" s="16">
        <f t="shared" ref="I146:I147" si="13">F146+G146+H146</f>
        <v>3160</v>
      </c>
      <c r="J146" s="38" t="s">
        <v>299</v>
      </c>
      <c r="K146" s="10" t="s">
        <v>183</v>
      </c>
    </row>
    <row r="147" spans="1:11" ht="108" customHeight="1" x14ac:dyDescent="0.25">
      <c r="A147" s="32" t="e">
        <f t="shared" si="9"/>
        <v>#REF!</v>
      </c>
      <c r="B147" s="34" t="s">
        <v>309</v>
      </c>
      <c r="C147" s="19" t="s">
        <v>308</v>
      </c>
      <c r="D147" s="10" t="s">
        <v>92</v>
      </c>
      <c r="E147" s="31"/>
      <c r="F147" s="16">
        <f>752.2+1253.7</f>
        <v>2005.9</v>
      </c>
      <c r="G147" s="16">
        <v>0</v>
      </c>
      <c r="H147" s="16">
        <v>0</v>
      </c>
      <c r="I147" s="16">
        <f t="shared" si="13"/>
        <v>2005.9</v>
      </c>
      <c r="J147" s="38" t="s">
        <v>299</v>
      </c>
      <c r="K147" s="10" t="s">
        <v>183</v>
      </c>
    </row>
    <row r="148" spans="1:11" ht="20.25" customHeight="1" x14ac:dyDescent="0.3">
      <c r="A148" s="64" t="s">
        <v>184</v>
      </c>
      <c r="B148" s="64"/>
      <c r="C148" s="64"/>
      <c r="D148" s="11"/>
      <c r="E148" s="11"/>
      <c r="F148" s="12">
        <f>SUM(F113:F147)</f>
        <v>94789.732999999993</v>
      </c>
      <c r="G148" s="12">
        <f>SUM(G113:G147)</f>
        <v>80908.7</v>
      </c>
      <c r="H148" s="12">
        <f>SUM(H113:H147)</f>
        <v>60500</v>
      </c>
      <c r="I148" s="12">
        <f>SUM(I113:I147)</f>
        <v>236198.43299999999</v>
      </c>
      <c r="J148" s="11"/>
      <c r="K148" s="11"/>
    </row>
    <row r="149" spans="1:11" ht="18.75" customHeight="1" x14ac:dyDescent="0.3">
      <c r="A149" s="64" t="s">
        <v>185</v>
      </c>
      <c r="B149" s="64"/>
      <c r="C149" s="64"/>
      <c r="D149" s="64"/>
      <c r="E149" s="11"/>
      <c r="F149" s="12">
        <f>F148+F111</f>
        <v>379055.23300000001</v>
      </c>
      <c r="G149" s="12">
        <f>G148+G111</f>
        <v>125000</v>
      </c>
      <c r="H149" s="12">
        <f>H148+H111</f>
        <v>145000</v>
      </c>
      <c r="I149" s="12">
        <f>I148+I111</f>
        <v>649055.23300000001</v>
      </c>
      <c r="J149" s="11"/>
      <c r="K149" s="11"/>
    </row>
    <row r="150" spans="1:11" ht="24" customHeight="1" x14ac:dyDescent="0.25">
      <c r="A150" s="71" t="s">
        <v>126</v>
      </c>
      <c r="B150" s="71"/>
      <c r="C150" s="71"/>
      <c r="D150" s="71"/>
      <c r="E150" s="71"/>
      <c r="F150" s="71"/>
      <c r="G150" s="71"/>
      <c r="H150" s="71"/>
      <c r="I150" s="71"/>
      <c r="J150" s="71"/>
      <c r="K150" s="71"/>
    </row>
    <row r="151" spans="1:11" ht="36.75" customHeight="1" x14ac:dyDescent="0.3">
      <c r="A151" s="63" t="s">
        <v>0</v>
      </c>
      <c r="B151" s="64"/>
      <c r="C151" s="64"/>
      <c r="D151" s="64"/>
      <c r="E151" s="64"/>
      <c r="F151" s="64"/>
      <c r="G151" s="64"/>
      <c r="H151" s="64"/>
      <c r="I151" s="64"/>
      <c r="J151" s="64"/>
      <c r="K151" s="64"/>
    </row>
    <row r="152" spans="1:11" ht="147.75" customHeight="1" x14ac:dyDescent="0.25">
      <c r="A152" s="41">
        <v>1</v>
      </c>
      <c r="B152" s="42" t="s">
        <v>262</v>
      </c>
      <c r="C152" s="42" t="s">
        <v>127</v>
      </c>
      <c r="D152" s="43" t="s">
        <v>128</v>
      </c>
      <c r="E152" s="44"/>
      <c r="F152" s="45">
        <f>45101.73-13209.6</f>
        <v>31892.130000000005</v>
      </c>
      <c r="G152" s="45">
        <v>0</v>
      </c>
      <c r="H152" s="45">
        <v>0</v>
      </c>
      <c r="I152" s="45">
        <f>F152+G152+H152</f>
        <v>31892.130000000005</v>
      </c>
      <c r="J152" s="10" t="s">
        <v>159</v>
      </c>
      <c r="K152" s="10" t="s">
        <v>186</v>
      </c>
    </row>
    <row r="153" spans="1:11" ht="100.5" customHeight="1" x14ac:dyDescent="0.25">
      <c r="A153" s="60">
        <v>2</v>
      </c>
      <c r="B153" s="58" t="s">
        <v>263</v>
      </c>
      <c r="C153" s="58" t="s">
        <v>129</v>
      </c>
      <c r="D153" s="62" t="s">
        <v>128</v>
      </c>
      <c r="E153" s="58"/>
      <c r="F153" s="46">
        <f>F154+F155</f>
        <v>13612.6</v>
      </c>
      <c r="G153" s="46">
        <f>G154+G155</f>
        <v>0</v>
      </c>
      <c r="H153" s="46">
        <v>0</v>
      </c>
      <c r="I153" s="46">
        <f t="shared" ref="I153:I158" si="14">F153+G153+H153</f>
        <v>13612.6</v>
      </c>
      <c r="J153" s="47" t="s">
        <v>200</v>
      </c>
      <c r="K153" s="63" t="s">
        <v>165</v>
      </c>
    </row>
    <row r="154" spans="1:11" ht="55.5" customHeight="1" x14ac:dyDescent="0.25">
      <c r="A154" s="61"/>
      <c r="B154" s="59"/>
      <c r="C154" s="59"/>
      <c r="D154" s="61"/>
      <c r="E154" s="59"/>
      <c r="F154" s="45">
        <f>10612.566+0.034</f>
        <v>10612.6</v>
      </c>
      <c r="G154" s="45">
        <v>0</v>
      </c>
      <c r="H154" s="45">
        <v>0</v>
      </c>
      <c r="I154" s="45">
        <f t="shared" ref="I154" si="15">F154+G154+H154</f>
        <v>10612.6</v>
      </c>
      <c r="J154" s="10" t="s">
        <v>159</v>
      </c>
      <c r="K154" s="61"/>
    </row>
    <row r="155" spans="1:11" ht="227.25" customHeight="1" x14ac:dyDescent="0.25">
      <c r="A155" s="61"/>
      <c r="B155" s="59"/>
      <c r="C155" s="59"/>
      <c r="D155" s="61"/>
      <c r="E155" s="59"/>
      <c r="F155" s="45">
        <v>3000</v>
      </c>
      <c r="G155" s="45">
        <v>0</v>
      </c>
      <c r="H155" s="45">
        <v>0</v>
      </c>
      <c r="I155" s="45">
        <f t="shared" ref="I155" si="16">F155+G155+H155</f>
        <v>3000</v>
      </c>
      <c r="J155" s="10" t="s">
        <v>194</v>
      </c>
      <c r="K155" s="61"/>
    </row>
    <row r="156" spans="1:11" ht="129" customHeight="1" x14ac:dyDescent="0.25">
      <c r="A156" s="41">
        <v>3</v>
      </c>
      <c r="B156" s="44" t="s">
        <v>264</v>
      </c>
      <c r="C156" s="44" t="s">
        <v>130</v>
      </c>
      <c r="D156" s="43" t="s">
        <v>128</v>
      </c>
      <c r="E156" s="44"/>
      <c r="F156" s="45">
        <v>5800</v>
      </c>
      <c r="G156" s="45">
        <v>0</v>
      </c>
      <c r="H156" s="45">
        <v>0</v>
      </c>
      <c r="I156" s="45">
        <f t="shared" si="14"/>
        <v>5800</v>
      </c>
      <c r="J156" s="10" t="s">
        <v>159</v>
      </c>
      <c r="K156" s="10" t="s">
        <v>186</v>
      </c>
    </row>
    <row r="157" spans="1:11" ht="119.25" customHeight="1" x14ac:dyDescent="0.25">
      <c r="A157" s="41">
        <v>4</v>
      </c>
      <c r="B157" s="44" t="s">
        <v>265</v>
      </c>
      <c r="C157" s="44" t="s">
        <v>131</v>
      </c>
      <c r="D157" s="43" t="s">
        <v>128</v>
      </c>
      <c r="E157" s="44"/>
      <c r="F157" s="45">
        <v>1300</v>
      </c>
      <c r="G157" s="45">
        <v>0</v>
      </c>
      <c r="H157" s="45">
        <v>0</v>
      </c>
      <c r="I157" s="45">
        <f>F157+G157+H157</f>
        <v>1300</v>
      </c>
      <c r="J157" s="10" t="s">
        <v>159</v>
      </c>
      <c r="K157" s="10" t="s">
        <v>186</v>
      </c>
    </row>
    <row r="158" spans="1:11" ht="168" customHeight="1" x14ac:dyDescent="0.25">
      <c r="A158" s="41">
        <v>5</v>
      </c>
      <c r="B158" s="44" t="s">
        <v>266</v>
      </c>
      <c r="C158" s="44" t="s">
        <v>132</v>
      </c>
      <c r="D158" s="43" t="s">
        <v>128</v>
      </c>
      <c r="E158" s="44"/>
      <c r="F158" s="45">
        <v>5163.6099999999997</v>
      </c>
      <c r="G158" s="45">
        <v>0</v>
      </c>
      <c r="H158" s="45">
        <v>0</v>
      </c>
      <c r="I158" s="45">
        <f t="shared" si="14"/>
        <v>5163.6099999999997</v>
      </c>
      <c r="J158" s="10" t="s">
        <v>159</v>
      </c>
      <c r="K158" s="10" t="s">
        <v>186</v>
      </c>
    </row>
    <row r="159" spans="1:11" ht="74.25" customHeight="1" x14ac:dyDescent="0.25">
      <c r="A159" s="41">
        <v>6</v>
      </c>
      <c r="B159" s="44" t="s">
        <v>267</v>
      </c>
      <c r="C159" s="44" t="s">
        <v>133</v>
      </c>
      <c r="D159" s="43" t="s">
        <v>128</v>
      </c>
      <c r="E159" s="44"/>
      <c r="F159" s="45">
        <f>2000+1100</f>
        <v>3100</v>
      </c>
      <c r="G159" s="45">
        <v>0</v>
      </c>
      <c r="H159" s="45">
        <v>0</v>
      </c>
      <c r="I159" s="45">
        <f>F159+G159+H159</f>
        <v>3100</v>
      </c>
      <c r="J159" s="10" t="s">
        <v>159</v>
      </c>
      <c r="K159" s="10" t="s">
        <v>187</v>
      </c>
    </row>
    <row r="160" spans="1:11" ht="147" customHeight="1" x14ac:dyDescent="0.25">
      <c r="A160" s="41">
        <v>7</v>
      </c>
      <c r="B160" s="44" t="s">
        <v>210</v>
      </c>
      <c r="C160" s="44" t="s">
        <v>211</v>
      </c>
      <c r="D160" s="43" t="s">
        <v>128</v>
      </c>
      <c r="E160" s="44"/>
      <c r="F160" s="45">
        <v>5000</v>
      </c>
      <c r="G160" s="45">
        <v>0</v>
      </c>
      <c r="H160" s="45">
        <v>0</v>
      </c>
      <c r="I160" s="45">
        <f>F160+G160+H160</f>
        <v>5000</v>
      </c>
      <c r="J160" s="10" t="s">
        <v>159</v>
      </c>
      <c r="K160" s="10" t="s">
        <v>191</v>
      </c>
    </row>
    <row r="161" spans="1:11" ht="105.75" customHeight="1" x14ac:dyDescent="0.25">
      <c r="A161" s="41">
        <v>8</v>
      </c>
      <c r="B161" s="44" t="s">
        <v>212</v>
      </c>
      <c r="C161" s="44" t="s">
        <v>213</v>
      </c>
      <c r="D161" s="43" t="s">
        <v>128</v>
      </c>
      <c r="E161" s="44"/>
      <c r="F161" s="45">
        <f>1812.9</f>
        <v>1812.9</v>
      </c>
      <c r="G161" s="45">
        <v>0</v>
      </c>
      <c r="H161" s="45">
        <v>0</v>
      </c>
      <c r="I161" s="45">
        <f>F161+G161+H161</f>
        <v>1812.9</v>
      </c>
      <c r="J161" s="10" t="s">
        <v>159</v>
      </c>
      <c r="K161" s="10" t="s">
        <v>191</v>
      </c>
    </row>
    <row r="162" spans="1:11" ht="106.5" customHeight="1" x14ac:dyDescent="0.25">
      <c r="A162" s="41">
        <v>9</v>
      </c>
      <c r="B162" s="44" t="s">
        <v>215</v>
      </c>
      <c r="C162" s="44" t="s">
        <v>214</v>
      </c>
      <c r="D162" s="43" t="s">
        <v>128</v>
      </c>
      <c r="E162" s="44"/>
      <c r="F162" s="45">
        <f>353.1-136.17</f>
        <v>216.93000000000004</v>
      </c>
      <c r="G162" s="45">
        <v>0</v>
      </c>
      <c r="H162" s="45">
        <v>0</v>
      </c>
      <c r="I162" s="45">
        <f>F162+G162+H162</f>
        <v>216.93000000000004</v>
      </c>
      <c r="J162" s="10" t="s">
        <v>159</v>
      </c>
      <c r="K162" s="10" t="s">
        <v>191</v>
      </c>
    </row>
    <row r="163" spans="1:11" ht="74.25" customHeight="1" x14ac:dyDescent="0.25">
      <c r="A163" s="41">
        <v>10</v>
      </c>
      <c r="B163" s="44" t="s">
        <v>216</v>
      </c>
      <c r="C163" s="44" t="s">
        <v>217</v>
      </c>
      <c r="D163" s="43" t="s">
        <v>128</v>
      </c>
      <c r="E163" s="44"/>
      <c r="F163" s="45">
        <v>3000</v>
      </c>
      <c r="G163" s="45">
        <v>0</v>
      </c>
      <c r="H163" s="45">
        <v>0</v>
      </c>
      <c r="I163" s="45">
        <f>F163+G163+H163</f>
        <v>3000</v>
      </c>
      <c r="J163" s="10" t="s">
        <v>159</v>
      </c>
      <c r="K163" s="10" t="s">
        <v>191</v>
      </c>
    </row>
    <row r="164" spans="1:11" ht="21.75" customHeight="1" x14ac:dyDescent="0.3">
      <c r="A164" s="64" t="s">
        <v>188</v>
      </c>
      <c r="B164" s="64"/>
      <c r="C164" s="64"/>
      <c r="D164" s="31"/>
      <c r="E164" s="31"/>
      <c r="F164" s="16">
        <f>F158+F159+F157+F156+F153+F152+F160+F161+F162+F163</f>
        <v>70898.169999999984</v>
      </c>
      <c r="G164" s="16">
        <f t="shared" ref="G164:I164" si="17">G158+G159+G157+G156+G153+G152+G160+G161+G162+G163</f>
        <v>0</v>
      </c>
      <c r="H164" s="16">
        <f t="shared" si="17"/>
        <v>0</v>
      </c>
      <c r="I164" s="16">
        <f t="shared" si="17"/>
        <v>70898.169999999984</v>
      </c>
      <c r="J164" s="31"/>
      <c r="K164" s="31"/>
    </row>
    <row r="165" spans="1:11" ht="33.75" customHeight="1" x14ac:dyDescent="0.3">
      <c r="A165" s="63" t="s">
        <v>2</v>
      </c>
      <c r="B165" s="64"/>
      <c r="C165" s="64"/>
      <c r="D165" s="64"/>
      <c r="E165" s="64"/>
      <c r="F165" s="64"/>
      <c r="G165" s="64"/>
      <c r="H165" s="64"/>
      <c r="I165" s="64"/>
      <c r="J165" s="64"/>
      <c r="K165" s="64"/>
    </row>
    <row r="166" spans="1:11" ht="145.5" customHeight="1" x14ac:dyDescent="0.25">
      <c r="A166" s="32">
        <v>1</v>
      </c>
      <c r="B166" s="14" t="s">
        <v>268</v>
      </c>
      <c r="C166" s="14" t="s">
        <v>316</v>
      </c>
      <c r="D166" s="10" t="s">
        <v>128</v>
      </c>
      <c r="E166" s="31"/>
      <c r="F166" s="16">
        <f>1000+3795</f>
        <v>4795</v>
      </c>
      <c r="G166" s="16">
        <v>12826.9</v>
      </c>
      <c r="H166" s="16">
        <v>20900.5</v>
      </c>
      <c r="I166" s="16">
        <f t="shared" ref="I166:I182" si="18">F166+G166+H166</f>
        <v>38522.400000000001</v>
      </c>
      <c r="J166" s="10" t="s">
        <v>159</v>
      </c>
      <c r="K166" s="10" t="s">
        <v>186</v>
      </c>
    </row>
    <row r="167" spans="1:11" ht="106.5" customHeight="1" x14ac:dyDescent="0.25">
      <c r="A167" s="32">
        <v>2</v>
      </c>
      <c r="B167" s="14" t="s">
        <v>269</v>
      </c>
      <c r="C167" s="14" t="s">
        <v>134</v>
      </c>
      <c r="D167" s="10" t="s">
        <v>128</v>
      </c>
      <c r="E167" s="31"/>
      <c r="F167" s="16">
        <f>672+12500</f>
        <v>13172</v>
      </c>
      <c r="G167" s="16">
        <v>2000</v>
      </c>
      <c r="H167" s="16">
        <v>0</v>
      </c>
      <c r="I167" s="16">
        <f t="shared" si="18"/>
        <v>15172</v>
      </c>
      <c r="J167" s="10" t="s">
        <v>159</v>
      </c>
      <c r="K167" s="10" t="s">
        <v>186</v>
      </c>
    </row>
    <row r="168" spans="1:11" ht="114" customHeight="1" x14ac:dyDescent="0.25">
      <c r="A168" s="32">
        <v>3</v>
      </c>
      <c r="B168" s="14" t="s">
        <v>270</v>
      </c>
      <c r="C168" s="14" t="s">
        <v>135</v>
      </c>
      <c r="D168" s="10" t="s">
        <v>128</v>
      </c>
      <c r="E168" s="31"/>
      <c r="F168" s="16">
        <f>1000+32754.8-1000</f>
        <v>32754.800000000003</v>
      </c>
      <c r="G168" s="16">
        <v>12710.2</v>
      </c>
      <c r="H168" s="16">
        <v>0</v>
      </c>
      <c r="I168" s="16">
        <f t="shared" si="18"/>
        <v>45465</v>
      </c>
      <c r="J168" s="10" t="s">
        <v>159</v>
      </c>
      <c r="K168" s="10" t="s">
        <v>186</v>
      </c>
    </row>
    <row r="169" spans="1:11" ht="162.75" customHeight="1" x14ac:dyDescent="0.25">
      <c r="A169" s="32">
        <v>4</v>
      </c>
      <c r="B169" s="13" t="s">
        <v>271</v>
      </c>
      <c r="C169" s="13" t="s">
        <v>136</v>
      </c>
      <c r="D169" s="10" t="s">
        <v>128</v>
      </c>
      <c r="E169" s="31"/>
      <c r="F169" s="16">
        <f>400-400</f>
        <v>0</v>
      </c>
      <c r="G169" s="16">
        <v>6000</v>
      </c>
      <c r="H169" s="16">
        <v>0</v>
      </c>
      <c r="I169" s="16">
        <f t="shared" si="18"/>
        <v>6000</v>
      </c>
      <c r="J169" s="10" t="s">
        <v>159</v>
      </c>
      <c r="K169" s="10" t="s">
        <v>186</v>
      </c>
    </row>
    <row r="170" spans="1:11" ht="140.25" customHeight="1" x14ac:dyDescent="0.25">
      <c r="A170" s="32">
        <v>5</v>
      </c>
      <c r="B170" s="14" t="s">
        <v>279</v>
      </c>
      <c r="C170" s="14" t="s">
        <v>137</v>
      </c>
      <c r="D170" s="10" t="s">
        <v>128</v>
      </c>
      <c r="E170" s="31"/>
      <c r="F170" s="16">
        <f>541.58-0.086-0.034</f>
        <v>541.46</v>
      </c>
      <c r="G170" s="16">
        <v>12596.46</v>
      </c>
      <c r="H170" s="16">
        <v>0</v>
      </c>
      <c r="I170" s="16">
        <f t="shared" si="18"/>
        <v>13137.919999999998</v>
      </c>
      <c r="J170" s="10" t="s">
        <v>159</v>
      </c>
      <c r="K170" s="10" t="s">
        <v>186</v>
      </c>
    </row>
    <row r="171" spans="1:11" ht="108" customHeight="1" x14ac:dyDescent="0.25">
      <c r="A171" s="32">
        <v>6</v>
      </c>
      <c r="B171" s="14" t="s">
        <v>280</v>
      </c>
      <c r="C171" s="14" t="s">
        <v>138</v>
      </c>
      <c r="D171" s="10" t="s">
        <v>128</v>
      </c>
      <c r="E171" s="31"/>
      <c r="F171" s="16">
        <f>6408.514+0.086</f>
        <v>6408.6</v>
      </c>
      <c r="G171" s="16">
        <v>0</v>
      </c>
      <c r="H171" s="16">
        <v>0</v>
      </c>
      <c r="I171" s="16">
        <f t="shared" si="18"/>
        <v>6408.6</v>
      </c>
      <c r="J171" s="10" t="s">
        <v>159</v>
      </c>
      <c r="K171" s="10" t="s">
        <v>191</v>
      </c>
    </row>
    <row r="172" spans="1:11" ht="152.25" customHeight="1" x14ac:dyDescent="0.25">
      <c r="A172" s="32">
        <v>7</v>
      </c>
      <c r="B172" s="13" t="s">
        <v>272</v>
      </c>
      <c r="C172" s="13" t="s">
        <v>139</v>
      </c>
      <c r="D172" s="10" t="s">
        <v>128</v>
      </c>
      <c r="E172" s="31"/>
      <c r="F172" s="16">
        <v>0</v>
      </c>
      <c r="G172" s="16">
        <v>20000</v>
      </c>
      <c r="H172" s="16">
        <v>1607.89</v>
      </c>
      <c r="I172" s="16">
        <f t="shared" si="18"/>
        <v>21607.89</v>
      </c>
      <c r="J172" s="10" t="s">
        <v>159</v>
      </c>
      <c r="K172" s="10" t="s">
        <v>186</v>
      </c>
    </row>
    <row r="173" spans="1:11" s="1" customFormat="1" ht="102.75" customHeight="1" x14ac:dyDescent="0.25">
      <c r="A173" s="32">
        <v>8</v>
      </c>
      <c r="B173" s="14" t="s">
        <v>273</v>
      </c>
      <c r="C173" s="14" t="s">
        <v>140</v>
      </c>
      <c r="D173" s="10" t="s">
        <v>128</v>
      </c>
      <c r="E173" s="31"/>
      <c r="F173" s="16">
        <v>0</v>
      </c>
      <c r="G173" s="16">
        <v>5039.01</v>
      </c>
      <c r="H173" s="16">
        <v>0</v>
      </c>
      <c r="I173" s="16">
        <f t="shared" si="18"/>
        <v>5039.01</v>
      </c>
      <c r="J173" s="10" t="s">
        <v>159</v>
      </c>
      <c r="K173" s="10" t="s">
        <v>186</v>
      </c>
    </row>
    <row r="174" spans="1:11" s="7" customFormat="1" ht="102.75" customHeight="1" x14ac:dyDescent="0.25">
      <c r="A174" s="32">
        <f>1+A173</f>
        <v>9</v>
      </c>
      <c r="B174" s="14" t="s">
        <v>315</v>
      </c>
      <c r="C174" s="14" t="s">
        <v>314</v>
      </c>
      <c r="D174" s="10" t="s">
        <v>128</v>
      </c>
      <c r="E174" s="31"/>
      <c r="F174" s="16">
        <v>257.5</v>
      </c>
      <c r="G174" s="16">
        <v>0</v>
      </c>
      <c r="H174" s="16">
        <v>0</v>
      </c>
      <c r="I174" s="16">
        <f t="shared" si="18"/>
        <v>257.5</v>
      </c>
      <c r="J174" s="10" t="s">
        <v>159</v>
      </c>
      <c r="K174" s="10" t="s">
        <v>186</v>
      </c>
    </row>
    <row r="175" spans="1:11" s="1" customFormat="1" ht="297" customHeight="1" x14ac:dyDescent="0.25">
      <c r="A175" s="32">
        <f>1+A174</f>
        <v>10</v>
      </c>
      <c r="B175" s="14" t="s">
        <v>317</v>
      </c>
      <c r="C175" s="14" t="s">
        <v>318</v>
      </c>
      <c r="D175" s="10" t="s">
        <v>128</v>
      </c>
      <c r="E175" s="31"/>
      <c r="F175" s="16">
        <v>1108</v>
      </c>
      <c r="G175" s="16">
        <v>0</v>
      </c>
      <c r="H175" s="16">
        <v>0</v>
      </c>
      <c r="I175" s="16">
        <f t="shared" si="18"/>
        <v>1108</v>
      </c>
      <c r="J175" s="10" t="s">
        <v>159</v>
      </c>
      <c r="K175" s="10" t="s">
        <v>186</v>
      </c>
    </row>
    <row r="176" spans="1:11" ht="107.25" customHeight="1" x14ac:dyDescent="0.25">
      <c r="A176" s="32">
        <f t="shared" ref="A176:A178" si="19">1+A175</f>
        <v>11</v>
      </c>
      <c r="B176" s="14" t="s">
        <v>274</v>
      </c>
      <c r="C176" s="14" t="s">
        <v>141</v>
      </c>
      <c r="D176" s="10" t="s">
        <v>128</v>
      </c>
      <c r="E176" s="31"/>
      <c r="F176" s="16">
        <v>0</v>
      </c>
      <c r="G176" s="16">
        <v>5000</v>
      </c>
      <c r="H176" s="16">
        <v>6620</v>
      </c>
      <c r="I176" s="16">
        <f t="shared" si="18"/>
        <v>11620</v>
      </c>
      <c r="J176" s="10" t="s">
        <v>159</v>
      </c>
      <c r="K176" s="10" t="s">
        <v>186</v>
      </c>
    </row>
    <row r="177" spans="1:11" ht="93.75" customHeight="1" x14ac:dyDescent="0.25">
      <c r="A177" s="32">
        <f t="shared" si="19"/>
        <v>12</v>
      </c>
      <c r="B177" s="14" t="s">
        <v>275</v>
      </c>
      <c r="C177" s="14" t="s">
        <v>142</v>
      </c>
      <c r="D177" s="10" t="s">
        <v>128</v>
      </c>
      <c r="E177" s="31"/>
      <c r="F177" s="16">
        <v>0</v>
      </c>
      <c r="G177" s="16">
        <v>25000</v>
      </c>
      <c r="H177" s="16">
        <v>0</v>
      </c>
      <c r="I177" s="16">
        <f t="shared" si="18"/>
        <v>25000</v>
      </c>
      <c r="J177" s="10" t="s">
        <v>159</v>
      </c>
      <c r="K177" s="10" t="s">
        <v>186</v>
      </c>
    </row>
    <row r="178" spans="1:11" ht="103.5" customHeight="1" x14ac:dyDescent="0.25">
      <c r="A178" s="32">
        <f t="shared" si="19"/>
        <v>13</v>
      </c>
      <c r="B178" s="14" t="s">
        <v>276</v>
      </c>
      <c r="C178" s="14" t="s">
        <v>143</v>
      </c>
      <c r="D178" s="10" t="s">
        <v>128</v>
      </c>
      <c r="E178" s="31"/>
      <c r="F178" s="16">
        <v>0</v>
      </c>
      <c r="G178" s="16">
        <f>23827.43</f>
        <v>23827.43</v>
      </c>
      <c r="H178" s="16">
        <v>91248.82</v>
      </c>
      <c r="I178" s="16">
        <f t="shared" si="18"/>
        <v>115076.25</v>
      </c>
      <c r="J178" s="10" t="s">
        <v>159</v>
      </c>
      <c r="K178" s="10" t="s">
        <v>186</v>
      </c>
    </row>
    <row r="179" spans="1:11" ht="125.25" customHeight="1" x14ac:dyDescent="0.25">
      <c r="A179" s="32">
        <f t="shared" ref="A179:A182" si="20">1+A178</f>
        <v>14</v>
      </c>
      <c r="B179" s="14" t="s">
        <v>277</v>
      </c>
      <c r="C179" s="14" t="s">
        <v>155</v>
      </c>
      <c r="D179" s="10" t="s">
        <v>128</v>
      </c>
      <c r="E179" s="31"/>
      <c r="F179" s="16">
        <v>0</v>
      </c>
      <c r="G179" s="16">
        <v>20000</v>
      </c>
      <c r="H179" s="16">
        <v>9622.7900000000009</v>
      </c>
      <c r="I179" s="16">
        <f t="shared" si="18"/>
        <v>29622.79</v>
      </c>
      <c r="J179" s="10" t="s">
        <v>159</v>
      </c>
      <c r="K179" s="10" t="s">
        <v>186</v>
      </c>
    </row>
    <row r="180" spans="1:11" ht="125.25" customHeight="1" x14ac:dyDescent="0.25">
      <c r="A180" s="32">
        <f t="shared" si="20"/>
        <v>15</v>
      </c>
      <c r="B180" s="14" t="s">
        <v>223</v>
      </c>
      <c r="C180" s="14" t="s">
        <v>224</v>
      </c>
      <c r="D180" s="10" t="s">
        <v>128</v>
      </c>
      <c r="E180" s="31"/>
      <c r="F180" s="16">
        <f>1400+2000</f>
        <v>3400</v>
      </c>
      <c r="G180" s="16">
        <v>0</v>
      </c>
      <c r="H180" s="16">
        <v>0</v>
      </c>
      <c r="I180" s="16">
        <f t="shared" si="18"/>
        <v>3400</v>
      </c>
      <c r="J180" s="10" t="s">
        <v>159</v>
      </c>
      <c r="K180" s="10" t="s">
        <v>186</v>
      </c>
    </row>
    <row r="181" spans="1:11" ht="141.75" customHeight="1" x14ac:dyDescent="0.25">
      <c r="A181" s="32">
        <f t="shared" si="20"/>
        <v>16</v>
      </c>
      <c r="B181" s="34" t="s">
        <v>292</v>
      </c>
      <c r="C181" s="36" t="s">
        <v>291</v>
      </c>
      <c r="D181" s="10" t="s">
        <v>128</v>
      </c>
      <c r="E181" s="31"/>
      <c r="F181" s="16">
        <v>785.3</v>
      </c>
      <c r="G181" s="16">
        <v>0</v>
      </c>
      <c r="H181" s="16">
        <v>0</v>
      </c>
      <c r="I181" s="16">
        <f t="shared" si="18"/>
        <v>785.3</v>
      </c>
      <c r="J181" s="10" t="s">
        <v>159</v>
      </c>
      <c r="K181" s="10" t="s">
        <v>191</v>
      </c>
    </row>
    <row r="182" spans="1:11" ht="163.5" customHeight="1" x14ac:dyDescent="0.25">
      <c r="A182" s="32">
        <f t="shared" si="20"/>
        <v>17</v>
      </c>
      <c r="B182" s="14" t="s">
        <v>278</v>
      </c>
      <c r="C182" s="14" t="s">
        <v>144</v>
      </c>
      <c r="D182" s="10" t="s">
        <v>128</v>
      </c>
      <c r="E182" s="31"/>
      <c r="F182" s="16">
        <v>0</v>
      </c>
      <c r="G182" s="16">
        <v>0</v>
      </c>
      <c r="H182" s="16">
        <v>20000</v>
      </c>
      <c r="I182" s="16">
        <f t="shared" si="18"/>
        <v>20000</v>
      </c>
      <c r="J182" s="10" t="s">
        <v>159</v>
      </c>
      <c r="K182" s="10" t="s">
        <v>186</v>
      </c>
    </row>
    <row r="183" spans="1:11" ht="25.5" customHeight="1" x14ac:dyDescent="0.3">
      <c r="A183" s="77" t="s">
        <v>189</v>
      </c>
      <c r="B183" s="77"/>
      <c r="C183" s="77"/>
      <c r="D183" s="20"/>
      <c r="E183" s="11"/>
      <c r="F183" s="21">
        <f>SUM(F166:F182)</f>
        <v>63222.66</v>
      </c>
      <c r="G183" s="21">
        <f>SUM(G166:G182)</f>
        <v>145000</v>
      </c>
      <c r="H183" s="21">
        <f>SUM(H166:H182)</f>
        <v>150000</v>
      </c>
      <c r="I183" s="21">
        <f>SUM(I166:I182)</f>
        <v>358222.66</v>
      </c>
      <c r="J183" s="11"/>
      <c r="K183" s="11"/>
    </row>
    <row r="184" spans="1:11" ht="23.25" customHeight="1" x14ac:dyDescent="0.3">
      <c r="A184" s="22" t="s">
        <v>190</v>
      </c>
      <c r="B184" s="22"/>
      <c r="C184" s="22"/>
      <c r="D184" s="23"/>
      <c r="E184" s="11"/>
      <c r="F184" s="21">
        <f>F183+F164</f>
        <v>134120.82999999999</v>
      </c>
      <c r="G184" s="21">
        <f>G183+G164</f>
        <v>145000</v>
      </c>
      <c r="H184" s="21">
        <f>H183+H164</f>
        <v>150000</v>
      </c>
      <c r="I184" s="21">
        <f>I183+I164</f>
        <v>429120.82999999996</v>
      </c>
      <c r="J184" s="11"/>
      <c r="K184" s="11"/>
    </row>
    <row r="185" spans="1:11" ht="28.5" customHeight="1" x14ac:dyDescent="0.3">
      <c r="A185" s="76" t="s">
        <v>145</v>
      </c>
      <c r="B185" s="76"/>
      <c r="C185" s="76"/>
      <c r="D185" s="25"/>
      <c r="E185" s="26"/>
      <c r="F185" s="27">
        <f>F164+F111+F63+F51+F19+F11+F91</f>
        <v>449191.48850000004</v>
      </c>
      <c r="G185" s="27">
        <f>G164+G111+G63+G51+G19</f>
        <v>121091.29999999999</v>
      </c>
      <c r="H185" s="27">
        <f>H164+H111+H63+H51+H19</f>
        <v>161500</v>
      </c>
      <c r="I185" s="27">
        <f>I164+I111+I63+I51+I19+I11+I91</f>
        <v>731782.78849999991</v>
      </c>
      <c r="J185" s="26"/>
      <c r="K185" s="26"/>
    </row>
    <row r="186" spans="1:11" ht="28.5" customHeight="1" x14ac:dyDescent="0.3">
      <c r="A186" s="24" t="s">
        <v>146</v>
      </c>
      <c r="B186" s="24"/>
      <c r="C186" s="24"/>
      <c r="D186" s="25"/>
      <c r="E186" s="26"/>
      <c r="F186" s="27">
        <f>F183+F148+F97+F87+F80+F73+F59+F47+F15</f>
        <v>213729.59299999999</v>
      </c>
      <c r="G186" s="27">
        <f>G183+G148+G97+G87+G80+G73+G59+G47+G15</f>
        <v>463908.7</v>
      </c>
      <c r="H186" s="27">
        <f>H183+H148+H97+H87+H80+H73+H59+H47+H15</f>
        <v>481500</v>
      </c>
      <c r="I186" s="27">
        <f>I183+I148+I97+I87+I80+I73+I59+I47+I15</f>
        <v>1159138.2930000001</v>
      </c>
      <c r="J186" s="26"/>
      <c r="K186" s="26"/>
    </row>
    <row r="187" spans="1:11" ht="24.75" customHeight="1" x14ac:dyDescent="0.3">
      <c r="A187" s="76" t="s">
        <v>195</v>
      </c>
      <c r="B187" s="76"/>
      <c r="C187" s="76"/>
      <c r="D187" s="25"/>
      <c r="E187" s="26"/>
      <c r="F187" s="27">
        <f>SUM(F185:F186)</f>
        <v>662921.08150000009</v>
      </c>
      <c r="G187" s="27">
        <f t="shared" ref="G187:H187" si="21">SUM(G185:G186)</f>
        <v>585000</v>
      </c>
      <c r="H187" s="27">
        <f t="shared" si="21"/>
        <v>643000</v>
      </c>
      <c r="I187" s="27">
        <f>SUM(I185:I186)</f>
        <v>1890921.0814999999</v>
      </c>
      <c r="J187" s="26"/>
      <c r="K187" s="26"/>
    </row>
    <row r="188" spans="1:11" ht="24" customHeight="1" x14ac:dyDescent="0.3">
      <c r="A188" s="75" t="s">
        <v>198</v>
      </c>
      <c r="B188" s="75"/>
      <c r="C188" s="75"/>
      <c r="D188" s="28"/>
      <c r="E188" s="28"/>
      <c r="F188" s="27">
        <f>240000+10000+51100+45254.8+1100+1500+22029.9+1100+20859.4+785.3-23500-25000+2258.566+6100</f>
        <v>353587.96600000001</v>
      </c>
      <c r="G188" s="27">
        <v>585000</v>
      </c>
      <c r="H188" s="27">
        <v>643000</v>
      </c>
      <c r="I188" s="27">
        <f>F188+G188+H188</f>
        <v>1581587.966</v>
      </c>
      <c r="J188" s="48"/>
      <c r="K188" s="48"/>
    </row>
    <row r="189" spans="1:11" ht="23.25" customHeight="1" x14ac:dyDescent="0.3">
      <c r="A189" s="75" t="s">
        <v>196</v>
      </c>
      <c r="B189" s="75"/>
      <c r="C189" s="75"/>
      <c r="D189" s="28"/>
      <c r="E189" s="28"/>
      <c r="F189" s="29">
        <f>3000+5806+88097+12808.88+2726.117+1554+3600+450+1800+1253.7</f>
        <v>121095.697</v>
      </c>
      <c r="G189" s="29">
        <v>0</v>
      </c>
      <c r="H189" s="29">
        <v>0</v>
      </c>
      <c r="I189" s="29">
        <f>F189+G189+H189</f>
        <v>121095.697</v>
      </c>
      <c r="J189" s="48"/>
      <c r="K189" s="48"/>
    </row>
    <row r="190" spans="1:11" ht="24.75" customHeight="1" x14ac:dyDescent="0.3">
      <c r="A190" s="75" t="s">
        <v>197</v>
      </c>
      <c r="B190" s="75"/>
      <c r="C190" s="75"/>
      <c r="D190" s="28"/>
      <c r="E190" s="28"/>
      <c r="F190" s="29">
        <f>30000+8896.4185+13742.7+22498.3+14000+1500+5000+6000+8000+750+6900+70000+950</f>
        <v>188237.4185</v>
      </c>
      <c r="G190" s="29">
        <v>0</v>
      </c>
      <c r="H190" s="29">
        <v>0</v>
      </c>
      <c r="I190" s="29">
        <f>F190+G190+H190</f>
        <v>188237.4185</v>
      </c>
      <c r="J190" s="48"/>
      <c r="K190" s="48"/>
    </row>
    <row r="191" spans="1:11" ht="15" customHeight="1" x14ac:dyDescent="0.25">
      <c r="A191" s="1"/>
      <c r="B191" s="1"/>
      <c r="C191" s="1"/>
      <c r="D191" s="1"/>
      <c r="E191" s="1"/>
      <c r="F191" s="1"/>
      <c r="G191" s="1"/>
      <c r="H191" s="1"/>
      <c r="I191" s="1"/>
      <c r="J191" s="1"/>
      <c r="K191" s="1"/>
    </row>
  </sheetData>
  <mergeCells count="89">
    <mergeCell ref="A189:C189"/>
    <mergeCell ref="A190:C190"/>
    <mergeCell ref="A185:C185"/>
    <mergeCell ref="A187:C187"/>
    <mergeCell ref="A149:D149"/>
    <mergeCell ref="A150:K150"/>
    <mergeCell ref="A151:K151"/>
    <mergeCell ref="A164:C164"/>
    <mergeCell ref="A165:K165"/>
    <mergeCell ref="A183:C183"/>
    <mergeCell ref="A188:C188"/>
    <mergeCell ref="A88:D88"/>
    <mergeCell ref="A89:K89"/>
    <mergeCell ref="A90:K90"/>
    <mergeCell ref="A148:C148"/>
    <mergeCell ref="A92:K92"/>
    <mergeCell ref="A97:C97"/>
    <mergeCell ref="A98:D98"/>
    <mergeCell ref="A99:K99"/>
    <mergeCell ref="A100:K100"/>
    <mergeCell ref="A111:C111"/>
    <mergeCell ref="A112:K112"/>
    <mergeCell ref="B108:B110"/>
    <mergeCell ref="A86:K86"/>
    <mergeCell ref="A84:A85"/>
    <mergeCell ref="B84:B85"/>
    <mergeCell ref="C84:C85"/>
    <mergeCell ref="D84:D85"/>
    <mergeCell ref="E84:E85"/>
    <mergeCell ref="F84:F85"/>
    <mergeCell ref="G84:G85"/>
    <mergeCell ref="H84:H85"/>
    <mergeCell ref="I84:I85"/>
    <mergeCell ref="J84:J85"/>
    <mergeCell ref="K84:K85"/>
    <mergeCell ref="A83:K83"/>
    <mergeCell ref="A76:K76"/>
    <mergeCell ref="A77:A78"/>
    <mergeCell ref="B77:B78"/>
    <mergeCell ref="C77:C78"/>
    <mergeCell ref="D77:D78"/>
    <mergeCell ref="E77:E78"/>
    <mergeCell ref="F77:F78"/>
    <mergeCell ref="G77:G78"/>
    <mergeCell ref="H77:H78"/>
    <mergeCell ref="I77:I78"/>
    <mergeCell ref="J77:J78"/>
    <mergeCell ref="K77:K78"/>
    <mergeCell ref="A79:K79"/>
    <mergeCell ref="A81:D81"/>
    <mergeCell ref="A82:K82"/>
    <mergeCell ref="A75:K75"/>
    <mergeCell ref="A48:D48"/>
    <mergeCell ref="A49:K49"/>
    <mergeCell ref="A50:K50"/>
    <mergeCell ref="A52:K52"/>
    <mergeCell ref="A59:D59"/>
    <mergeCell ref="A60:D60"/>
    <mergeCell ref="A61:K61"/>
    <mergeCell ref="A62:K62"/>
    <mergeCell ref="A64:K64"/>
    <mergeCell ref="A73:C73"/>
    <mergeCell ref="A74:D74"/>
    <mergeCell ref="C1:I1"/>
    <mergeCell ref="A2:K3"/>
    <mergeCell ref="A5:A6"/>
    <mergeCell ref="B5:B6"/>
    <mergeCell ref="C5:C6"/>
    <mergeCell ref="D5:D6"/>
    <mergeCell ref="E5:E6"/>
    <mergeCell ref="F5:I5"/>
    <mergeCell ref="J5:J6"/>
    <mergeCell ref="K5:K6"/>
    <mergeCell ref="A11:C11"/>
    <mergeCell ref="A7:K7"/>
    <mergeCell ref="A8:K8"/>
    <mergeCell ref="B153:B155"/>
    <mergeCell ref="A153:A155"/>
    <mergeCell ref="D153:D155"/>
    <mergeCell ref="C153:C155"/>
    <mergeCell ref="E153:E155"/>
    <mergeCell ref="K153:K155"/>
    <mergeCell ref="A16:D16"/>
    <mergeCell ref="A15:C15"/>
    <mergeCell ref="A12:K12"/>
    <mergeCell ref="A17:K17"/>
    <mergeCell ref="A18:K18"/>
    <mergeCell ref="A20:K20"/>
    <mergeCell ref="A47:C47"/>
  </mergeCells>
  <phoneticPr fontId="9" type="noConversion"/>
  <pageMargins left="0.59055118110236227" right="0.19685039370078741" top="0.19685039370078741" bottom="0.19685039370078741" header="0" footer="0"/>
  <pageSetup paperSize="9" scale="54" orientation="landscape" r:id="rId1"/>
  <rowBreaks count="20" manualBreakCount="20">
    <brk id="16" max="16383" man="1"/>
    <brk id="24" max="10" man="1"/>
    <brk id="30" max="10" man="1"/>
    <brk id="36" max="10" man="1"/>
    <brk id="42" max="10" man="1"/>
    <brk id="51" max="10" man="1"/>
    <brk id="60" max="10" man="1"/>
    <brk id="69" max="10" man="1"/>
    <brk id="88" max="10" man="1"/>
    <brk id="98" max="10" man="1"/>
    <brk id="109" max="10" man="1"/>
    <brk id="117" max="10" man="1"/>
    <brk id="123" max="10" man="1"/>
    <brk id="130" max="10" man="1"/>
    <brk id="137" max="10" man="1"/>
    <brk id="149" max="16383" man="1"/>
    <brk id="157" max="10" man="1"/>
    <brk id="164" max="10" man="1"/>
    <brk id="171" max="10" man="1"/>
    <brk id="17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Консолідований перелік (2)</vt:lpstr>
      <vt:lpstr>'Консолідований перелік (2)'!Заголовки_для_друку</vt:lpstr>
      <vt:lpstr>'Консолідований перелік (2)'!Область_друку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Прокопенко Олександр Олександрович</dc:creator>
  <cp:lastModifiedBy>Прокопенко Олександр Олександрович</cp:lastModifiedBy>
  <cp:lastPrinted>2026-08-17T05:59:52Z</cp:lastPrinted>
  <dcterms:created xsi:type="dcterms:W3CDTF">2015-06-05T18:19:34Z</dcterms:created>
  <dcterms:modified xsi:type="dcterms:W3CDTF">2026-09-08T11:53:08Z</dcterms:modified>
</cp:coreProperties>
</file>